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05" yWindow="165"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51" r:id="rId22"/>
    <sheet name="KGP - WS P Dep. Rates" sheetId="43" r:id="rId23"/>
    <sheet name="KPC - WS P Dep. Rates" sheetId="44" r:id="rId24"/>
    <sheet name="OPC - WS P Dep. Rates" sheetId="45" r:id="rId25"/>
    <sheet name="WPC-WS P Dep. Rates" sheetId="46" r:id="rId26"/>
    <sheet name="KPCO WS Q Interest" sheetId="32" r:id="rId27"/>
    <sheet name="KPCO WS Q Interest (2)" sheetId="49" r:id="rId28"/>
  </sheets>
  <externalReferences>
    <externalReference r:id="rId29"/>
    <externalReference r:id="rId30"/>
  </externalReferences>
  <definedNames>
    <definedName name="_NPh1" localSheetId="21">#REF!</definedName>
    <definedName name="_NPh1">#REF!</definedName>
    <definedName name="ActExcessAmt" localSheetId="2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#REF!</definedName>
    <definedName name="_xlnm.Print_Area" localSheetId="0">TCOS!$A$1:$L$373</definedName>
    <definedName name="_xlnm.Print_Area" localSheetId="25">'WPC-WS P Dep. Rates'!#REF!</definedName>
    <definedName name="_xlnm.Print_Area" localSheetId="2">'WS B ADIT &amp; ITC'!$A$1:$I$57</definedName>
    <definedName name="_xlnm.Print_Area" localSheetId="4">'WS B-2 - Actual Stmt. AG'!$A$1:$S$103</definedName>
    <definedName name="_xlnm.Print_Area" localSheetId="5">'WS B-3'!$A$1:$R$72</definedName>
    <definedName name="_xlnm.Print_Area" localSheetId="12">'WS H-1-Detail of Tax Amts'!$A$1:$L$131</definedName>
    <definedName name="_xlnm.Print_Area" localSheetId="19">'WS O - PBOP'!$A$1:$K$58</definedName>
    <definedName name="_xlnm.Print_Area">#REF!</definedName>
    <definedName name="_xlnm.Print_Titles" localSheetId="25">'WPC-WS P Dep. Rates'!#REF!</definedName>
    <definedName name="PRVCNT" localSheetId="21">#REF!</definedName>
    <definedName name="PRVCNT">#REF!</definedName>
    <definedName name="PRVDATE" localSheetId="21">#REF!</definedName>
    <definedName name="PRVDATE">#REF!</definedName>
    <definedName name="PRVFUEL" localSheetId="21">#REF!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Capital'!$A$10:$N$90</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Capital'!$A$10:$N$90</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Capital'!$A$10:$N$90</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Capital'!$A$10:$N$90</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Amts'!$A$3:$F$122</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I39" i="51" l="1"/>
  <c r="E39" i="51"/>
  <c r="K39" i="51" s="1"/>
  <c r="K38" i="51"/>
  <c r="I38" i="51"/>
  <c r="E38" i="51"/>
  <c r="I37" i="51"/>
  <c r="K37" i="51" s="1"/>
  <c r="E37" i="51"/>
  <c r="I36" i="51"/>
  <c r="E36" i="51"/>
  <c r="K36" i="51" s="1"/>
  <c r="I35" i="51"/>
  <c r="E35" i="51"/>
  <c r="K35" i="51" s="1"/>
  <c r="K34" i="51"/>
  <c r="I34" i="51"/>
  <c r="E34" i="51"/>
  <c r="I33" i="51"/>
  <c r="K33" i="51" s="1"/>
  <c r="E33" i="51"/>
  <c r="I32" i="51"/>
  <c r="E32" i="51"/>
  <c r="K32" i="51" s="1"/>
  <c r="I31" i="51"/>
  <c r="E31" i="51"/>
  <c r="K31" i="51" s="1"/>
  <c r="K27" i="51"/>
  <c r="I27" i="51"/>
  <c r="E27" i="51"/>
  <c r="I26" i="51"/>
  <c r="E26" i="51"/>
  <c r="K26" i="51" s="1"/>
  <c r="I25" i="51"/>
  <c r="E25" i="51"/>
  <c r="K25" i="51" s="1"/>
  <c r="I24" i="51"/>
  <c r="E24" i="51"/>
  <c r="K24" i="51" s="1"/>
  <c r="K23" i="51"/>
  <c r="I23" i="51"/>
  <c r="E23" i="51"/>
  <c r="I22" i="51"/>
  <c r="K22" i="51" s="1"/>
  <c r="E22" i="51"/>
  <c r="I21" i="51"/>
  <c r="E21" i="51"/>
  <c r="K21" i="51" s="1"/>
  <c r="I20" i="51"/>
  <c r="E20" i="51"/>
  <c r="K20" i="51" s="1"/>
  <c r="K19" i="51"/>
  <c r="I19" i="51"/>
  <c r="E19" i="51"/>
  <c r="F86" i="35" l="1"/>
  <c r="Q39" i="31" l="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S21" i="31"/>
  <c r="I21" i="31"/>
  <c r="E20" i="31"/>
  <c r="S20" i="31" s="1"/>
  <c r="G44" i="48" l="1"/>
  <c r="G43" i="48"/>
  <c r="F43" i="48"/>
  <c r="J43" i="48" l="1"/>
  <c r="H43" i="48"/>
  <c r="D43" i="48"/>
  <c r="I43" i="48"/>
  <c r="E62" i="35"/>
  <c r="E67" i="35"/>
  <c r="O48" i="50" l="1"/>
  <c r="O29" i="50"/>
  <c r="C62" i="38" l="1"/>
  <c r="D62" i="38"/>
  <c r="C63" i="38"/>
  <c r="D63" i="38"/>
  <c r="D61" i="38"/>
  <c r="C61" i="38"/>
  <c r="N48" i="50" l="1"/>
  <c r="N29" i="50"/>
  <c r="K137" i="38" l="1"/>
  <c r="J137" i="38"/>
  <c r="I137" i="38"/>
  <c r="D137" i="38"/>
  <c r="C137" i="38"/>
  <c r="A136" i="38"/>
  <c r="A137" i="38" s="1"/>
  <c r="A138" i="38" s="1"/>
  <c r="A139" i="38" s="1"/>
  <c r="K59" i="38"/>
  <c r="J59" i="38"/>
  <c r="I59" i="38"/>
  <c r="D59" i="38"/>
  <c r="C59" i="38"/>
  <c r="G137" i="38" l="1"/>
  <c r="G59" i="38"/>
  <c r="M45" i="50" l="1"/>
  <c r="P45" i="50" s="1"/>
  <c r="M26" i="50"/>
  <c r="M48" i="50"/>
  <c r="L48" i="50"/>
  <c r="K48" i="50"/>
  <c r="J48" i="50"/>
  <c r="I48" i="50"/>
  <c r="P44" i="50"/>
  <c r="P26" i="50"/>
  <c r="P25" i="50"/>
  <c r="P40" i="50"/>
  <c r="P38" i="50"/>
  <c r="P37" i="50"/>
  <c r="P34" i="50"/>
  <c r="Q39" i="50"/>
  <c r="Q36" i="50"/>
  <c r="Q35" i="50"/>
  <c r="Q48" i="50" s="1"/>
  <c r="Q20" i="50"/>
  <c r="Q17" i="50"/>
  <c r="Q16" i="50"/>
  <c r="Q14" i="50"/>
  <c r="P21" i="50"/>
  <c r="P19" i="50"/>
  <c r="P18" i="50"/>
  <c r="P15" i="50"/>
  <c r="P13" i="50"/>
  <c r="M29" i="50"/>
  <c r="L29" i="50"/>
  <c r="K29" i="50"/>
  <c r="J29" i="50"/>
  <c r="I29" i="50"/>
  <c r="P48" i="50" l="1"/>
  <c r="Q29" i="50"/>
  <c r="P29" i="50"/>
  <c r="E39" i="9" l="1"/>
  <c r="G142" i="2" l="1"/>
  <c r="C82" i="38" l="1"/>
  <c r="D82" i="38"/>
  <c r="G82" i="38" s="1"/>
  <c r="I82" i="38"/>
  <c r="J82" i="38"/>
  <c r="K82" i="38"/>
  <c r="C83" i="38"/>
  <c r="D83" i="38"/>
  <c r="I83" i="38"/>
  <c r="J83" i="38"/>
  <c r="K83" i="38"/>
  <c r="C124" i="38"/>
  <c r="D124" i="38"/>
  <c r="G124" i="38" s="1"/>
  <c r="I124" i="38"/>
  <c r="J124" i="38"/>
  <c r="K124" i="38"/>
  <c r="C121" i="38"/>
  <c r="D121" i="38"/>
  <c r="G121" i="38" s="1"/>
  <c r="I121" i="38"/>
  <c r="J121" i="38"/>
  <c r="K121" i="38"/>
  <c r="C96" i="38"/>
  <c r="D96" i="38"/>
  <c r="I96" i="38"/>
  <c r="J96" i="38"/>
  <c r="K96" i="38"/>
  <c r="C97" i="38"/>
  <c r="D97" i="38"/>
  <c r="I97" i="38"/>
  <c r="J97" i="38"/>
  <c r="K97" i="38"/>
  <c r="A44" i="39"/>
  <c r="A45" i="39"/>
  <c r="A46" i="39"/>
  <c r="A47" i="39"/>
  <c r="A48" i="39" s="1"/>
  <c r="C47" i="39"/>
  <c r="D47" i="39"/>
  <c r="G47" i="39" s="1"/>
  <c r="I47" i="39"/>
  <c r="J47" i="39"/>
  <c r="K47" i="39"/>
  <c r="C88" i="39"/>
  <c r="D88" i="39"/>
  <c r="I88" i="39"/>
  <c r="J88" i="39"/>
  <c r="K88" i="39"/>
  <c r="C58" i="39"/>
  <c r="D58" i="39"/>
  <c r="G58" i="39" s="1"/>
  <c r="I58" i="39"/>
  <c r="J58" i="39"/>
  <c r="K58" i="39"/>
  <c r="C59" i="39"/>
  <c r="D59" i="39"/>
  <c r="I59" i="39"/>
  <c r="J59" i="39"/>
  <c r="K59" i="39"/>
  <c r="C37" i="39"/>
  <c r="D37" i="39"/>
  <c r="G37" i="39" s="1"/>
  <c r="I37" i="39"/>
  <c r="J37" i="39"/>
  <c r="K37" i="39"/>
  <c r="C35" i="39"/>
  <c r="D35" i="39"/>
  <c r="G35" i="39" s="1"/>
  <c r="I35" i="39"/>
  <c r="J35" i="39"/>
  <c r="K35" i="39"/>
  <c r="C29" i="39"/>
  <c r="D29" i="39"/>
  <c r="I29" i="39"/>
  <c r="J29" i="39"/>
  <c r="K29" i="39"/>
  <c r="C30" i="39"/>
  <c r="D30" i="39"/>
  <c r="I30" i="39"/>
  <c r="J30" i="39"/>
  <c r="K30" i="39"/>
  <c r="E69" i="9"/>
  <c r="E68" i="9"/>
  <c r="E51" i="9"/>
  <c r="E52" i="9"/>
  <c r="G83" i="38" l="1"/>
  <c r="G96" i="38"/>
  <c r="G97" i="38"/>
  <c r="G88" i="39"/>
  <c r="G29" i="39"/>
  <c r="G59" i="39"/>
  <c r="G30" i="39"/>
  <c r="A10" i="49"/>
  <c r="F17" i="49"/>
  <c r="B41" i="49"/>
  <c r="B42" i="49" s="1"/>
  <c r="B43" i="49" s="1"/>
  <c r="B44" i="49" s="1"/>
  <c r="B45" i="49" s="1"/>
  <c r="B46" i="49" s="1"/>
  <c r="B47" i="49" s="1"/>
  <c r="B48" i="49" s="1"/>
  <c r="B49" i="49" s="1"/>
  <c r="B50" i="49" s="1"/>
  <c r="B51" i="49" s="1"/>
  <c r="B52" i="49" s="1"/>
  <c r="B38" i="49"/>
  <c r="B23" i="49"/>
  <c r="B24" i="49" s="1"/>
  <c r="B25" i="49" s="1"/>
  <c r="B26" i="49" s="1"/>
  <c r="B27" i="49" s="1"/>
  <c r="B28" i="49" s="1"/>
  <c r="B29" i="49" s="1"/>
  <c r="B30" i="49" s="1"/>
  <c r="B31" i="49" s="1"/>
  <c r="B32" i="49" s="1"/>
  <c r="B33" i="49" s="1"/>
  <c r="B34" i="49" s="1"/>
  <c r="B41" i="32"/>
  <c r="B42" i="32" s="1"/>
  <c r="B43" i="32" s="1"/>
  <c r="B44" i="32" s="1"/>
  <c r="B45" i="32" s="1"/>
  <c r="B46" i="32" s="1"/>
  <c r="B47" i="32" s="1"/>
  <c r="B48" i="32" s="1"/>
  <c r="B49" i="32" s="1"/>
  <c r="B50" i="32" s="1"/>
  <c r="B51" i="32" s="1"/>
  <c r="B52" i="32" s="1"/>
  <c r="B38" i="32"/>
  <c r="B24" i="32"/>
  <c r="B25" i="32" s="1"/>
  <c r="B26" i="32" s="1"/>
  <c r="B27" i="32" s="1"/>
  <c r="B28" i="32" s="1"/>
  <c r="B29" i="32" s="1"/>
  <c r="B30" i="32" s="1"/>
  <c r="B31" i="32" s="1"/>
  <c r="B32" i="32" s="1"/>
  <c r="B33" i="32" s="1"/>
  <c r="B34" i="32" s="1"/>
  <c r="B23" i="32"/>
  <c r="A10" i="32"/>
  <c r="E85" i="6"/>
  <c r="K84" i="6"/>
  <c r="E84" i="6" s="1"/>
  <c r="K83" i="6"/>
  <c r="E83" i="6" s="1"/>
  <c r="J82" i="6"/>
  <c r="K82" i="6" s="1"/>
  <c r="E82" i="6" s="1"/>
  <c r="K81" i="6"/>
  <c r="E81" i="6" s="1"/>
  <c r="K80" i="6"/>
  <c r="E80" i="6"/>
  <c r="K79" i="6"/>
  <c r="E79" i="6" s="1"/>
  <c r="I78" i="6"/>
  <c r="K78" i="6" s="1"/>
  <c r="E78" i="6" s="1"/>
  <c r="K77" i="6"/>
  <c r="E77" i="6"/>
  <c r="K76" i="6"/>
  <c r="E76" i="6" s="1"/>
  <c r="K75" i="6"/>
  <c r="E75" i="6"/>
  <c r="K74" i="6"/>
  <c r="E74" i="6" s="1"/>
  <c r="J73" i="6"/>
  <c r="K73" i="6" s="1"/>
  <c r="E73" i="6" s="1"/>
  <c r="K72" i="6"/>
  <c r="E72" i="6" s="1"/>
  <c r="K71" i="6"/>
  <c r="E71" i="6"/>
  <c r="K70" i="6"/>
  <c r="E70" i="6" s="1"/>
  <c r="K69" i="6"/>
  <c r="E69" i="6"/>
  <c r="I68" i="6"/>
  <c r="K68" i="6" s="1"/>
  <c r="E68" i="6" s="1"/>
  <c r="N76" i="39"/>
  <c r="H236" i="2" l="1"/>
  <c r="E183" i="2" l="1"/>
  <c r="C122" i="38" l="1"/>
  <c r="D122" i="38"/>
  <c r="I122" i="38"/>
  <c r="J122" i="38"/>
  <c r="K122" i="38"/>
  <c r="C123" i="38"/>
  <c r="D123" i="38"/>
  <c r="I123" i="38"/>
  <c r="J123" i="38"/>
  <c r="K123" i="38"/>
  <c r="C84" i="38"/>
  <c r="D84" i="38"/>
  <c r="I84" i="38"/>
  <c r="J84" i="38"/>
  <c r="K84" i="38"/>
  <c r="A30" i="38"/>
  <c r="A31" i="38" s="1"/>
  <c r="C30" i="38"/>
  <c r="D30" i="38"/>
  <c r="I30" i="38"/>
  <c r="J30" i="38"/>
  <c r="K30" i="38"/>
  <c r="C37" i="38"/>
  <c r="D37" i="38"/>
  <c r="I37" i="38"/>
  <c r="J37" i="38"/>
  <c r="K37" i="38"/>
  <c r="C56" i="38"/>
  <c r="D56" i="38"/>
  <c r="I56" i="38"/>
  <c r="J56" i="38"/>
  <c r="K56" i="38"/>
  <c r="C76" i="39"/>
  <c r="D76" i="39"/>
  <c r="I76" i="39"/>
  <c r="J76" i="39"/>
  <c r="K76" i="39"/>
  <c r="G122" i="38" l="1"/>
  <c r="G84" i="38"/>
  <c r="G37" i="38"/>
  <c r="G123" i="38"/>
  <c r="G30" i="38"/>
  <c r="G56" i="38"/>
  <c r="G76" i="39"/>
  <c r="E49" i="9" l="1"/>
  <c r="E50" i="9"/>
  <c r="E38" i="9"/>
  <c r="E88" i="6" l="1"/>
  <c r="I27" i="8" l="1"/>
  <c r="F120" i="30" l="1"/>
  <c r="E15" i="30"/>
  <c r="E29" i="30"/>
  <c r="S154" i="38" l="1"/>
  <c r="R154" i="38"/>
  <c r="Q154" i="38"/>
  <c r="E34" i="5" s="1"/>
  <c r="O154" i="38"/>
  <c r="N154" i="38"/>
  <c r="M154" i="38"/>
  <c r="F154" i="38"/>
  <c r="E154" i="38"/>
  <c r="E18" i="5"/>
  <c r="G18" i="5"/>
  <c r="C140" i="38"/>
  <c r="D140" i="38"/>
  <c r="C141" i="38"/>
  <c r="D141" i="38"/>
  <c r="C142" i="38"/>
  <c r="D142" i="38"/>
  <c r="C143" i="38"/>
  <c r="D143" i="38"/>
  <c r="C144" i="38"/>
  <c r="D144" i="38"/>
  <c r="D139" i="38"/>
  <c r="C139" i="38"/>
  <c r="D151" i="38"/>
  <c r="C151" i="38"/>
  <c r="S67" i="38"/>
  <c r="R67" i="38"/>
  <c r="Q67" i="38"/>
  <c r="O67" i="38"/>
  <c r="N67" i="38"/>
  <c r="M67" i="38"/>
  <c r="E67" i="38"/>
  <c r="F67" i="38"/>
  <c r="C20" i="38"/>
  <c r="D20" i="38"/>
  <c r="C21" i="38"/>
  <c r="D21" i="38"/>
  <c r="D19" i="38"/>
  <c r="C19" i="38"/>
  <c r="S103" i="39"/>
  <c r="E42" i="5" s="1"/>
  <c r="R103" i="39"/>
  <c r="Q103" i="39"/>
  <c r="O103" i="39"/>
  <c r="N103" i="39"/>
  <c r="M103" i="39"/>
  <c r="E103" i="39"/>
  <c r="F103" i="39"/>
  <c r="C93" i="39"/>
  <c r="D93" i="39"/>
  <c r="C94" i="39"/>
  <c r="D94" i="39"/>
  <c r="C95" i="39"/>
  <c r="D95" i="39"/>
  <c r="C96" i="39"/>
  <c r="D96" i="39"/>
  <c r="C97" i="39"/>
  <c r="D97" i="39"/>
  <c r="C98" i="39"/>
  <c r="D98" i="39"/>
  <c r="C99" i="39"/>
  <c r="D99" i="39"/>
  <c r="D92" i="39"/>
  <c r="C92" i="39"/>
  <c r="G42" i="5" l="1"/>
  <c r="E26" i="5"/>
  <c r="G34" i="5"/>
  <c r="G26" i="5"/>
  <c r="J53" i="6" l="1"/>
  <c r="I49" i="6"/>
  <c r="K49" i="6" s="1"/>
  <c r="E49" i="6" s="1"/>
  <c r="K40" i="6"/>
  <c r="K41" i="6"/>
  <c r="K42" i="6"/>
  <c r="E42" i="6" s="1"/>
  <c r="K43" i="6"/>
  <c r="E43" i="6" s="1"/>
  <c r="K45" i="6"/>
  <c r="K46" i="6"/>
  <c r="E46" i="6" s="1"/>
  <c r="K47" i="6"/>
  <c r="E47" i="6" s="1"/>
  <c r="K48" i="6"/>
  <c r="K50" i="6"/>
  <c r="K51" i="6"/>
  <c r="E51" i="6" s="1"/>
  <c r="K52" i="6"/>
  <c r="K53" i="6"/>
  <c r="E53" i="6" s="1"/>
  <c r="K54" i="6"/>
  <c r="K55" i="6"/>
  <c r="E45" i="6"/>
  <c r="E41" i="6"/>
  <c r="J44" i="6"/>
  <c r="K44" i="6" s="1"/>
  <c r="E44" i="6" s="1"/>
  <c r="I39" i="6"/>
  <c r="K39" i="6" s="1"/>
  <c r="E40" i="6"/>
  <c r="E48" i="6"/>
  <c r="E50" i="6"/>
  <c r="E52" i="6"/>
  <c r="E54" i="6"/>
  <c r="E55" i="6"/>
  <c r="E56" i="6"/>
  <c r="G155" i="2" l="1"/>
  <c r="G154" i="2"/>
  <c r="G153" i="2"/>
  <c r="F24" i="10"/>
  <c r="I94" i="20"/>
  <c r="N88" i="20" s="1"/>
  <c r="G24" i="49"/>
  <c r="G25" i="49"/>
  <c r="G26" i="49" s="1"/>
  <c r="G27" i="49" s="1"/>
  <c r="G28" i="49" s="1"/>
  <c r="G29" i="49" s="1"/>
  <c r="G30" i="49" s="1"/>
  <c r="G31" i="49" s="1"/>
  <c r="G32" i="49" s="1"/>
  <c r="G33" i="49" s="1"/>
  <c r="G34" i="49" s="1"/>
  <c r="F23" i="49"/>
  <c r="F24" i="49"/>
  <c r="F25" i="49" s="1"/>
  <c r="H12" i="49"/>
  <c r="D23" i="49" s="1"/>
  <c r="H23" i="49" s="1"/>
  <c r="K23" i="49" s="1"/>
  <c r="F12" i="49"/>
  <c r="B12" i="49"/>
  <c r="N66" i="38"/>
  <c r="D23" i="35"/>
  <c r="G67" i="2" s="1"/>
  <c r="L67" i="2" s="1"/>
  <c r="G42" i="41"/>
  <c r="F42" i="41"/>
  <c r="E42" i="41"/>
  <c r="D42" i="41"/>
  <c r="C42" i="41"/>
  <c r="F23" i="41"/>
  <c r="L251" i="2" s="1"/>
  <c r="E23" i="41"/>
  <c r="L250" i="2" s="1"/>
  <c r="D23" i="41"/>
  <c r="L249" i="2" s="1"/>
  <c r="G256" i="2" s="1"/>
  <c r="J256" i="2" s="1"/>
  <c r="E22" i="13" s="1"/>
  <c r="C23" i="41"/>
  <c r="L248" i="2" s="1"/>
  <c r="F62" i="35"/>
  <c r="L227" i="2"/>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K23" i="35"/>
  <c r="G74" i="2" s="1"/>
  <c r="J23" i="35"/>
  <c r="G73" i="2" s="1"/>
  <c r="I23" i="35"/>
  <c r="G72" i="2" s="1"/>
  <c r="H23" i="35"/>
  <c r="G71" i="2" s="1"/>
  <c r="L71" i="2" s="1"/>
  <c r="G23" i="35"/>
  <c r="F23" i="35"/>
  <c r="G69" i="2" s="1"/>
  <c r="E23" i="35"/>
  <c r="G68" i="2" s="1"/>
  <c r="L226" i="2" s="1"/>
  <c r="C23" i="35"/>
  <c r="G66" i="2" s="1"/>
  <c r="L66" i="2" s="1"/>
  <c r="F17" i="48"/>
  <c r="B14" i="48"/>
  <c r="A6" i="48"/>
  <c r="I47" i="48"/>
  <c r="C26" i="48" s="1"/>
  <c r="G26" i="48" s="1"/>
  <c r="H47" i="48"/>
  <c r="C25" i="48" s="1"/>
  <c r="D47" i="48"/>
  <c r="C22" i="48" s="1"/>
  <c r="G22" i="48" s="1"/>
  <c r="K45" i="48"/>
  <c r="K41" i="48"/>
  <c r="J47" i="48"/>
  <c r="C27" i="48" s="1"/>
  <c r="G47" i="48"/>
  <c r="C24" i="48" s="1"/>
  <c r="F47" i="48"/>
  <c r="C23" i="48" s="1"/>
  <c r="G23" i="48" s="1"/>
  <c r="K37" i="48"/>
  <c r="E28" i="48"/>
  <c r="A23" i="48"/>
  <c r="A24" i="48"/>
  <c r="A25" i="48"/>
  <c r="A26" i="48" s="1"/>
  <c r="A27" i="48" s="1"/>
  <c r="B28" i="48" s="1"/>
  <c r="E20" i="48"/>
  <c r="A4" i="48"/>
  <c r="C63" i="41"/>
  <c r="B48" i="41"/>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2" i="39"/>
  <c r="D43" i="5"/>
  <c r="D42" i="5"/>
  <c r="D27" i="5"/>
  <c r="D19" i="5"/>
  <c r="F87" i="35"/>
  <c r="F85" i="35"/>
  <c r="S147" i="38"/>
  <c r="S153" i="38" s="1"/>
  <c r="R147" i="38"/>
  <c r="R153" i="38" s="1"/>
  <c r="Q147" i="38"/>
  <c r="Q153" i="38" s="1"/>
  <c r="O147" i="38"/>
  <c r="O153" i="38" s="1"/>
  <c r="N147" i="38"/>
  <c r="N153" i="38" s="1"/>
  <c r="M147" i="38"/>
  <c r="M153" i="38" s="1"/>
  <c r="S66" i="38"/>
  <c r="R66" i="38"/>
  <c r="Q66" i="38"/>
  <c r="O66" i="38"/>
  <c r="M66" i="38"/>
  <c r="F13" i="38"/>
  <c r="B3" i="38"/>
  <c r="A67" i="38"/>
  <c r="D26" i="5" s="1"/>
  <c r="A150" i="38"/>
  <c r="A153" i="38" s="1"/>
  <c r="A18" i="39"/>
  <c r="A19" i="39" s="1"/>
  <c r="A20" i="39" s="1"/>
  <c r="A21" i="39" s="1"/>
  <c r="A22" i="39" s="1"/>
  <c r="A23" i="39" s="1"/>
  <c r="A24" i="39" s="1"/>
  <c r="A25" i="39" s="1"/>
  <c r="A72" i="38"/>
  <c r="A73" i="38" s="1"/>
  <c r="A74" i="38" s="1"/>
  <c r="A75" i="38" s="1"/>
  <c r="A76" i="38" s="1"/>
  <c r="A77" i="38" s="1"/>
  <c r="A78" i="38" s="1"/>
  <c r="A79" i="38" s="1"/>
  <c r="A80" i="38" s="1"/>
  <c r="A29" i="38"/>
  <c r="A32" i="38" s="1"/>
  <c r="A33" i="38" s="1"/>
  <c r="A34" i="38" s="1"/>
  <c r="A35" i="38" s="1"/>
  <c r="I18" i="5"/>
  <c r="I42" i="5"/>
  <c r="K100" i="39"/>
  <c r="J100" i="39"/>
  <c r="I100" i="39"/>
  <c r="D100" i="39"/>
  <c r="C100" i="39"/>
  <c r="G99" i="39"/>
  <c r="G98" i="39"/>
  <c r="G96" i="39"/>
  <c r="G95" i="39"/>
  <c r="F102" i="39"/>
  <c r="G93" i="39"/>
  <c r="G92" i="39"/>
  <c r="K91" i="39"/>
  <c r="J91" i="39"/>
  <c r="I91" i="39"/>
  <c r="D90" i="39"/>
  <c r="J90" i="39"/>
  <c r="I90" i="39"/>
  <c r="I89" i="39"/>
  <c r="K89" i="39"/>
  <c r="J89" i="39"/>
  <c r="D89" i="39"/>
  <c r="C89" i="39"/>
  <c r="J87" i="39"/>
  <c r="D87" i="39"/>
  <c r="K87" i="39"/>
  <c r="K86" i="39"/>
  <c r="D86" i="39"/>
  <c r="C86" i="39"/>
  <c r="I86" i="39"/>
  <c r="D85" i="39"/>
  <c r="J85" i="39"/>
  <c r="I85" i="39"/>
  <c r="C85" i="39"/>
  <c r="C84" i="39"/>
  <c r="K84" i="39"/>
  <c r="J84" i="39"/>
  <c r="J83" i="39"/>
  <c r="K83" i="39"/>
  <c r="K82" i="39"/>
  <c r="J82" i="39"/>
  <c r="I82" i="39"/>
  <c r="D81" i="39"/>
  <c r="J81" i="39"/>
  <c r="I81" i="39"/>
  <c r="I80" i="39"/>
  <c r="K80" i="39"/>
  <c r="J80" i="39"/>
  <c r="D80" i="39"/>
  <c r="C80" i="39"/>
  <c r="J79" i="39"/>
  <c r="D79" i="39"/>
  <c r="K79" i="39"/>
  <c r="K78" i="39"/>
  <c r="D78" i="39"/>
  <c r="C78" i="39"/>
  <c r="I78" i="39"/>
  <c r="D77" i="39"/>
  <c r="J77" i="39"/>
  <c r="I77" i="39"/>
  <c r="D75" i="39"/>
  <c r="D103" i="39" s="1"/>
  <c r="C75" i="39"/>
  <c r="C103" i="39" s="1"/>
  <c r="J75" i="39"/>
  <c r="J103" i="39" s="1"/>
  <c r="J74" i="39"/>
  <c r="K74" i="39"/>
  <c r="D74" i="39"/>
  <c r="J73" i="39"/>
  <c r="I73" i="39"/>
  <c r="D72" i="39"/>
  <c r="J72" i="39"/>
  <c r="I72" i="39"/>
  <c r="I71" i="39"/>
  <c r="K71" i="39"/>
  <c r="J71" i="39"/>
  <c r="D71" i="39"/>
  <c r="C71" i="39"/>
  <c r="D70" i="39"/>
  <c r="J70" i="39"/>
  <c r="K70" i="39"/>
  <c r="D69" i="39"/>
  <c r="K69" i="39"/>
  <c r="C69" i="39"/>
  <c r="I69" i="39"/>
  <c r="D68" i="39"/>
  <c r="J68" i="39"/>
  <c r="I68" i="39"/>
  <c r="C68" i="39"/>
  <c r="D67" i="39"/>
  <c r="C67" i="39"/>
  <c r="K67" i="39"/>
  <c r="J67" i="39"/>
  <c r="D66" i="39"/>
  <c r="K66" i="39"/>
  <c r="J65" i="39"/>
  <c r="I65" i="39"/>
  <c r="D64" i="39"/>
  <c r="J64" i="39"/>
  <c r="I64" i="39"/>
  <c r="I63" i="39"/>
  <c r="K63" i="39"/>
  <c r="J63" i="39"/>
  <c r="D63" i="39"/>
  <c r="C63" i="39"/>
  <c r="D62" i="39"/>
  <c r="J62" i="39"/>
  <c r="K62" i="39"/>
  <c r="D61" i="39"/>
  <c r="K61" i="39"/>
  <c r="C61" i="39"/>
  <c r="I61" i="39"/>
  <c r="D60" i="39"/>
  <c r="C60" i="39"/>
  <c r="I60" i="39"/>
  <c r="K57" i="39"/>
  <c r="I57" i="39"/>
  <c r="J57" i="39"/>
  <c r="D57" i="39"/>
  <c r="K56" i="39"/>
  <c r="D56" i="39"/>
  <c r="C56" i="39"/>
  <c r="I56" i="39"/>
  <c r="D55" i="39"/>
  <c r="J55" i="39"/>
  <c r="I55" i="39"/>
  <c r="C55" i="39"/>
  <c r="I54" i="39"/>
  <c r="C54" i="39"/>
  <c r="J54" i="39"/>
  <c r="J53" i="39"/>
  <c r="K53" i="39"/>
  <c r="K52" i="39"/>
  <c r="J52" i="39"/>
  <c r="I52" i="39"/>
  <c r="D51" i="39"/>
  <c r="K51" i="39"/>
  <c r="J51" i="39"/>
  <c r="I51" i="39"/>
  <c r="I50" i="39"/>
  <c r="K50" i="39"/>
  <c r="J50" i="39"/>
  <c r="D50" i="39"/>
  <c r="C50" i="39"/>
  <c r="J49" i="39"/>
  <c r="D49" i="39"/>
  <c r="K49" i="39"/>
  <c r="K48" i="39"/>
  <c r="D48" i="39"/>
  <c r="C48" i="39"/>
  <c r="I48" i="39"/>
  <c r="D46" i="39"/>
  <c r="J46" i="39"/>
  <c r="I46" i="39"/>
  <c r="C46" i="39"/>
  <c r="I45" i="39"/>
  <c r="C45" i="39"/>
  <c r="J45" i="39"/>
  <c r="J44" i="39"/>
  <c r="K44" i="39"/>
  <c r="K43" i="39"/>
  <c r="J43" i="39"/>
  <c r="I43" i="39"/>
  <c r="D42" i="39"/>
  <c r="K42" i="39"/>
  <c r="J42" i="39"/>
  <c r="I42" i="39"/>
  <c r="I41" i="39"/>
  <c r="K41" i="39"/>
  <c r="J41" i="39"/>
  <c r="D41" i="39"/>
  <c r="C41" i="39"/>
  <c r="J40" i="39"/>
  <c r="D40" i="39"/>
  <c r="K40" i="39"/>
  <c r="K39" i="39"/>
  <c r="D39" i="39"/>
  <c r="C39" i="39"/>
  <c r="I39" i="39"/>
  <c r="D38" i="39"/>
  <c r="J38" i="39"/>
  <c r="I38" i="39"/>
  <c r="C38" i="39"/>
  <c r="I36" i="39"/>
  <c r="C36" i="39"/>
  <c r="J36" i="39"/>
  <c r="J34" i="39"/>
  <c r="K34" i="39"/>
  <c r="K33" i="39"/>
  <c r="J33" i="39"/>
  <c r="I33" i="39"/>
  <c r="D32" i="39"/>
  <c r="K32" i="39"/>
  <c r="J32" i="39"/>
  <c r="I32" i="39"/>
  <c r="I31" i="39"/>
  <c r="K31" i="39"/>
  <c r="J31" i="39"/>
  <c r="D31" i="39"/>
  <c r="C31"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67" i="38"/>
  <c r="R167" i="38"/>
  <c r="Q167" i="38"/>
  <c r="E51" i="5" s="1"/>
  <c r="O167" i="38"/>
  <c r="N167" i="38"/>
  <c r="G52" i="5" s="1"/>
  <c r="M167" i="38"/>
  <c r="F167" i="38"/>
  <c r="E167" i="38"/>
  <c r="K165" i="38"/>
  <c r="J165" i="38"/>
  <c r="I165" i="38"/>
  <c r="D165" i="38"/>
  <c r="C165" i="38"/>
  <c r="G165" i="38" s="1"/>
  <c r="K164" i="38"/>
  <c r="J164" i="38"/>
  <c r="J167" i="38" s="1"/>
  <c r="I164" i="38"/>
  <c r="D164" i="38"/>
  <c r="D167" i="38" s="1"/>
  <c r="C164" i="38"/>
  <c r="G151" i="38"/>
  <c r="K150" i="38"/>
  <c r="J150" i="38"/>
  <c r="I150" i="38"/>
  <c r="D150" i="38"/>
  <c r="C150" i="38"/>
  <c r="K138" i="38"/>
  <c r="I138" i="38"/>
  <c r="D136" i="38"/>
  <c r="J136" i="38"/>
  <c r="K135" i="38"/>
  <c r="D135" i="38"/>
  <c r="C135" i="38"/>
  <c r="G135" i="38" s="1"/>
  <c r="I135" i="38"/>
  <c r="J134" i="38"/>
  <c r="I134" i="38"/>
  <c r="C134" i="38"/>
  <c r="K133" i="38"/>
  <c r="I133" i="38"/>
  <c r="J132" i="38"/>
  <c r="I132" i="38"/>
  <c r="K132" i="38"/>
  <c r="C132" i="38"/>
  <c r="C131" i="38"/>
  <c r="K131" i="38"/>
  <c r="I131" i="38"/>
  <c r="D131" i="38"/>
  <c r="C130" i="38"/>
  <c r="J130" i="38"/>
  <c r="I130" i="38"/>
  <c r="K129" i="38"/>
  <c r="I129" i="38"/>
  <c r="K128" i="38"/>
  <c r="I128" i="38"/>
  <c r="D128" i="38"/>
  <c r="J127" i="38"/>
  <c r="K127" i="38"/>
  <c r="D126" i="38"/>
  <c r="K126" i="38"/>
  <c r="D125" i="38"/>
  <c r="J125" i="38"/>
  <c r="I125" i="38"/>
  <c r="C120" i="38"/>
  <c r="I120" i="38"/>
  <c r="D119" i="38"/>
  <c r="J119" i="38"/>
  <c r="K118" i="38"/>
  <c r="J118" i="38"/>
  <c r="D118" i="38"/>
  <c r="D117" i="38"/>
  <c r="I117" i="38"/>
  <c r="J117" i="38"/>
  <c r="C117" i="38"/>
  <c r="C116" i="38"/>
  <c r="K116" i="38"/>
  <c r="J116" i="38"/>
  <c r="D115" i="38"/>
  <c r="K115" i="38"/>
  <c r="J115" i="38"/>
  <c r="C115" i="38"/>
  <c r="K114" i="38"/>
  <c r="D114" i="38"/>
  <c r="J114" i="38"/>
  <c r="I114" i="38"/>
  <c r="J113" i="38"/>
  <c r="I113" i="38"/>
  <c r="C113" i="38"/>
  <c r="I112" i="38"/>
  <c r="J112" i="38"/>
  <c r="K112" i="38"/>
  <c r="D112" i="38"/>
  <c r="C112" i="38"/>
  <c r="J111" i="38"/>
  <c r="D111" i="38"/>
  <c r="C111" i="38"/>
  <c r="K111" i="38"/>
  <c r="D110" i="38"/>
  <c r="C110" i="38"/>
  <c r="K110" i="38"/>
  <c r="I109" i="38"/>
  <c r="D108" i="38"/>
  <c r="I108" i="38"/>
  <c r="J107" i="38"/>
  <c r="K107" i="38"/>
  <c r="D107" i="38"/>
  <c r="K106" i="38"/>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5" i="38"/>
  <c r="I95" i="38"/>
  <c r="I94" i="38"/>
  <c r="J94" i="38"/>
  <c r="K94" i="38"/>
  <c r="C94" i="38"/>
  <c r="J93" i="38"/>
  <c r="I93" i="38"/>
  <c r="K93" i="38"/>
  <c r="D93" i="38"/>
  <c r="C93" i="38"/>
  <c r="D92" i="38"/>
  <c r="C92" i="38"/>
  <c r="K92" i="38"/>
  <c r="I92" i="38"/>
  <c r="K91" i="38"/>
  <c r="I91" i="38"/>
  <c r="K90" i="38"/>
  <c r="I90" i="38"/>
  <c r="D90" i="38"/>
  <c r="J89" i="38"/>
  <c r="K89" i="38"/>
  <c r="D88" i="38"/>
  <c r="K88" i="38"/>
  <c r="D87" i="38"/>
  <c r="J87" i="38"/>
  <c r="I87" i="38"/>
  <c r="C86" i="38"/>
  <c r="I86" i="38"/>
  <c r="D85" i="38"/>
  <c r="J85" i="38"/>
  <c r="K81" i="38"/>
  <c r="J81" i="38"/>
  <c r="D81" i="38"/>
  <c r="D80" i="38"/>
  <c r="I80" i="38"/>
  <c r="J80" i="38"/>
  <c r="C80" i="38"/>
  <c r="C79" i="38"/>
  <c r="K79" i="38"/>
  <c r="J79" i="38"/>
  <c r="D78" i="38"/>
  <c r="K78" i="38"/>
  <c r="J78" i="38"/>
  <c r="C78" i="38"/>
  <c r="K77" i="38"/>
  <c r="D77" i="38"/>
  <c r="J77" i="38"/>
  <c r="I77" i="38"/>
  <c r="J76" i="38"/>
  <c r="I76" i="38"/>
  <c r="C76" i="38"/>
  <c r="I75" i="38"/>
  <c r="J75" i="38"/>
  <c r="K75" i="38"/>
  <c r="D75" i="38"/>
  <c r="C75" i="38"/>
  <c r="J74" i="38"/>
  <c r="D74" i="38"/>
  <c r="K74" i="38"/>
  <c r="D73" i="38"/>
  <c r="C73" i="38"/>
  <c r="K73" i="38"/>
  <c r="I72" i="38"/>
  <c r="I71" i="38"/>
  <c r="G63" i="38"/>
  <c r="G61" i="38"/>
  <c r="D60" i="38"/>
  <c r="K60" i="38"/>
  <c r="J60" i="38"/>
  <c r="C60" i="38"/>
  <c r="J58" i="38"/>
  <c r="K58" i="38"/>
  <c r="D58" i="38"/>
  <c r="K57" i="38"/>
  <c r="J57" i="38"/>
  <c r="I57"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6" i="38"/>
  <c r="K36" i="38"/>
  <c r="D35" i="38"/>
  <c r="I35" i="38"/>
  <c r="I34" i="38"/>
  <c r="K34" i="38"/>
  <c r="J34" i="38"/>
  <c r="D33" i="38"/>
  <c r="K33" i="38"/>
  <c r="J33" i="38"/>
  <c r="D32" i="38"/>
  <c r="J32" i="38"/>
  <c r="I32" i="38"/>
  <c r="D31" i="38"/>
  <c r="J31" i="38"/>
  <c r="I31" i="38"/>
  <c r="K29" i="38"/>
  <c r="D29" i="38"/>
  <c r="J29" i="38"/>
  <c r="I29" i="38"/>
  <c r="D28" i="38"/>
  <c r="K28" i="38"/>
  <c r="I28" i="38"/>
  <c r="S23" i="38"/>
  <c r="R23" i="38"/>
  <c r="Q23" i="38"/>
  <c r="O23" i="38"/>
  <c r="N23" i="38"/>
  <c r="M23" i="38"/>
  <c r="G21" i="38"/>
  <c r="K17" i="38"/>
  <c r="K23" i="38" s="1"/>
  <c r="J17" i="38"/>
  <c r="J23" i="38" s="1"/>
  <c r="I17" i="38"/>
  <c r="I23" i="38" s="1"/>
  <c r="D17" i="38"/>
  <c r="D23" i="38" s="1"/>
  <c r="C17" i="38"/>
  <c r="C23" i="38" s="1"/>
  <c r="A24" i="38"/>
  <c r="D18" i="5" s="1"/>
  <c r="Q27" i="21"/>
  <c r="S27" i="21" s="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c r="B91" i="41"/>
  <c r="B92" i="41"/>
  <c r="B93" i="41"/>
  <c r="C94" i="41"/>
  <c r="E94" i="41" s="1"/>
  <c r="D94" i="41"/>
  <c r="B97" i="41"/>
  <c r="B98" i="41"/>
  <c r="B99" i="41"/>
  <c r="C100" i="41"/>
  <c r="C101" i="41"/>
  <c r="D100" i="41"/>
  <c r="D101" i="41" s="1"/>
  <c r="G20" i="41"/>
  <c r="G10" i="41"/>
  <c r="H40" i="41"/>
  <c r="H38" i="41"/>
  <c r="H36" i="41"/>
  <c r="H34" i="41"/>
  <c r="H32" i="41"/>
  <c r="H30" i="41"/>
  <c r="G14" i="41"/>
  <c r="G19" i="41"/>
  <c r="G15" i="41"/>
  <c r="G11" i="41"/>
  <c r="E110" i="2"/>
  <c r="E88" i="35"/>
  <c r="D88" i="35"/>
  <c r="F67" i="35"/>
  <c r="D67" i="35"/>
  <c r="A69" i="35"/>
  <c r="A71" i="35"/>
  <c r="A75" i="35" s="1"/>
  <c r="A76" i="35" s="1"/>
  <c r="A77" i="35" s="1"/>
  <c r="A78" i="35" s="1"/>
  <c r="A79" i="35" s="1"/>
  <c r="A80" i="35" s="1"/>
  <c r="A84"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69" i="2" s="1"/>
  <c r="A2" i="35"/>
  <c r="I59" i="30"/>
  <c r="I58" i="30"/>
  <c r="I55" i="30"/>
  <c r="I54" i="30"/>
  <c r="I53" i="30"/>
  <c r="I52" i="30"/>
  <c r="I48" i="30"/>
  <c r="I47" i="30"/>
  <c r="I46" i="30"/>
  <c r="I45" i="30"/>
  <c r="I44" i="30"/>
  <c r="I42" i="30"/>
  <c r="I41" i="30"/>
  <c r="B21" i="7"/>
  <c r="K27" i="8"/>
  <c r="K31" i="8" s="1"/>
  <c r="G15" i="2" s="1"/>
  <c r="L15" i="2" s="1"/>
  <c r="I31" i="8"/>
  <c r="B11" i="7"/>
  <c r="E69" i="30"/>
  <c r="E27" i="11" s="1"/>
  <c r="I27" i="11" s="1"/>
  <c r="D33" i="9"/>
  <c r="G146" i="2" s="1"/>
  <c r="L44" i="2" s="1"/>
  <c r="L48" i="2" s="1"/>
  <c r="O83" i="13"/>
  <c r="P83" i="13"/>
  <c r="J21" i="8"/>
  <c r="J19" i="8"/>
  <c r="J17" i="8"/>
  <c r="J15" i="8"/>
  <c r="J13" i="8"/>
  <c r="L89" i="13"/>
  <c r="L97" i="13"/>
  <c r="C102" i="13"/>
  <c r="D102" i="13"/>
  <c r="M102" i="13"/>
  <c r="O102" i="13"/>
  <c r="C103" i="13"/>
  <c r="C104" i="13"/>
  <c r="C105" i="13"/>
  <c r="C106" i="13"/>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E114" i="30"/>
  <c r="E40" i="11" s="1"/>
  <c r="M40" i="11" s="1"/>
  <c r="E106" i="30"/>
  <c r="E38" i="11" s="1"/>
  <c r="K38" i="11" s="1"/>
  <c r="E89" i="30"/>
  <c r="E36" i="11" s="1"/>
  <c r="K36" i="11" s="1"/>
  <c r="E81" i="30"/>
  <c r="E34" i="11" s="1"/>
  <c r="M34" i="11" s="1"/>
  <c r="E71" i="30"/>
  <c r="E28" i="11" s="1"/>
  <c r="I28" i="11" s="1"/>
  <c r="E56" i="30"/>
  <c r="E67" i="9"/>
  <c r="D61" i="9"/>
  <c r="D21" i="9"/>
  <c r="G148" i="2" s="1"/>
  <c r="K60" i="6"/>
  <c r="K29" i="6" s="1"/>
  <c r="E59" i="6"/>
  <c r="D351" i="2"/>
  <c r="D295" i="2"/>
  <c r="G24" i="32"/>
  <c r="G25" i="32" s="1"/>
  <c r="G26" i="32" s="1"/>
  <c r="G27" i="32" s="1"/>
  <c r="G28" i="32" s="1"/>
  <c r="G29" i="32" s="1"/>
  <c r="G30" i="32" s="1"/>
  <c r="G31" i="32" s="1"/>
  <c r="G32" i="32" s="1"/>
  <c r="G33" i="32" s="1"/>
  <c r="G34" i="32" s="1"/>
  <c r="F23" i="32"/>
  <c r="F24" i="32" s="1"/>
  <c r="H12" i="32"/>
  <c r="I56"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I89" i="6"/>
  <c r="I30" i="6" s="1"/>
  <c r="D60" i="6"/>
  <c r="D29" i="6" s="1"/>
  <c r="O8" i="20"/>
  <c r="E37" i="9"/>
  <c r="E36" i="9"/>
  <c r="E50" i="30"/>
  <c r="E22" i="11" s="1"/>
  <c r="G22" i="11" s="1"/>
  <c r="E17" i="11"/>
  <c r="M17" i="11" s="1"/>
  <c r="E77" i="30"/>
  <c r="E31" i="11" s="1"/>
  <c r="M31" i="11" s="1"/>
  <c r="L234" i="2"/>
  <c r="L236" i="2"/>
  <c r="L237" i="2"/>
  <c r="L238" i="2"/>
  <c r="F239" i="2"/>
  <c r="G239" i="2"/>
  <c r="E39" i="6"/>
  <c r="C21" i="7"/>
  <c r="C23" i="7" s="1"/>
  <c r="G123" i="2" s="1"/>
  <c r="L123" i="2" s="1"/>
  <c r="F11" i="10"/>
  <c r="F15" i="10"/>
  <c r="F19" i="10"/>
  <c r="F28" i="10"/>
  <c r="F32" i="10"/>
  <c r="E67" i="30"/>
  <c r="E26" i="11" s="1"/>
  <c r="I26" i="11" s="1"/>
  <c r="E39" i="30"/>
  <c r="E21" i="11" s="1"/>
  <c r="G21" i="11" s="1"/>
  <c r="E109" i="30"/>
  <c r="E39" i="11" s="1"/>
  <c r="M39" i="11" s="1"/>
  <c r="E117" i="30"/>
  <c r="E41" i="11" s="1"/>
  <c r="M41" i="11" s="1"/>
  <c r="E85" i="30"/>
  <c r="E35" i="11" s="1"/>
  <c r="K35" i="11" s="1"/>
  <c r="E99" i="30"/>
  <c r="F41" i="9"/>
  <c r="G161" i="2" s="1"/>
  <c r="F61" i="9"/>
  <c r="G162" i="2" s="1"/>
  <c r="F71" i="9"/>
  <c r="G163" i="2" s="1"/>
  <c r="L163" i="2" s="1"/>
  <c r="O17" i="21"/>
  <c r="O22" i="21"/>
  <c r="O27" i="21"/>
  <c r="I17" i="6"/>
  <c r="G114" i="2" s="1"/>
  <c r="I19" i="6"/>
  <c r="G115" i="2" s="1"/>
  <c r="I21" i="6"/>
  <c r="G116" i="2" s="1"/>
  <c r="D71" i="9"/>
  <c r="A24" i="9"/>
  <c r="A25" i="9" s="1"/>
  <c r="A26" i="9"/>
  <c r="A27" i="9" s="1"/>
  <c r="A28" i="9" s="1"/>
  <c r="A29" i="9" s="1"/>
  <c r="A30" i="9" s="1"/>
  <c r="A31" i="9" s="1"/>
  <c r="A32" i="9" s="1"/>
  <c r="A33" i="9" s="1"/>
  <c r="A15" i="7"/>
  <c r="A17" i="7"/>
  <c r="A18" i="7" s="1"/>
  <c r="A19" i="7" s="1"/>
  <c r="A21" i="7" s="1"/>
  <c r="A23" i="7" s="1"/>
  <c r="A17" i="6"/>
  <c r="A19" i="6"/>
  <c r="A21" i="6" s="1"/>
  <c r="A27" i="6"/>
  <c r="A29" i="6" s="1"/>
  <c r="A30" i="6" s="1"/>
  <c r="A31" i="6" s="1"/>
  <c r="A37" i="6" s="1"/>
  <c r="A39" i="6" s="1"/>
  <c r="A40" i="6" s="1"/>
  <c r="A41" i="6" s="1"/>
  <c r="A42" i="6" s="1"/>
  <c r="A43" i="6" s="1"/>
  <c r="A44" i="6" s="1"/>
  <c r="A45" i="6" s="1"/>
  <c r="A46" i="6" s="1"/>
  <c r="A47" i="6" s="1"/>
  <c r="A48" i="6" s="1"/>
  <c r="A49" i="6" s="1"/>
  <c r="A50" i="6"/>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E65" i="9"/>
  <c r="E64" i="9"/>
  <c r="D41" i="9"/>
  <c r="A15" i="30"/>
  <c r="A27" i="30" s="1"/>
  <c r="G207" i="2"/>
  <c r="L207" i="2" s="1"/>
  <c r="A17" i="11"/>
  <c r="A19" i="11"/>
  <c r="A20" i="11" s="1"/>
  <c r="A21" i="11"/>
  <c r="A22" i="11" s="1"/>
  <c r="A23" i="11" s="1"/>
  <c r="A25" i="11" s="1"/>
  <c r="A26" i="11" s="1"/>
  <c r="A27" i="11" s="1"/>
  <c r="A28" i="11" s="1"/>
  <c r="A30" i="11" s="1"/>
  <c r="A31" i="11" s="1"/>
  <c r="A33" i="11" s="1"/>
  <c r="A34" i="11" s="1"/>
  <c r="A35" i="11" s="1"/>
  <c r="A36" i="11" s="1"/>
  <c r="A37" i="11" s="1"/>
  <c r="A38" i="11" s="1"/>
  <c r="A39" i="11" s="1"/>
  <c r="A40" i="11" s="1"/>
  <c r="A41" i="11" s="1"/>
  <c r="A42" i="11" s="1"/>
  <c r="A43" i="11" s="1"/>
  <c r="D89" i="6"/>
  <c r="D30" i="6" s="1"/>
  <c r="I50" i="5"/>
  <c r="J29" i="8"/>
  <c r="A4" i="13"/>
  <c r="A4" i="20"/>
  <c r="C60" i="13"/>
  <c r="L173" i="2"/>
  <c r="G160" i="2"/>
  <c r="K33" i="21"/>
  <c r="A22" i="21"/>
  <c r="A27" i="21"/>
  <c r="A33" i="2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E44" i="9"/>
  <c r="E45" i="9"/>
  <c r="E46" i="9"/>
  <c r="E47" i="9"/>
  <c r="E48" i="9"/>
  <c r="E66" i="9"/>
  <c r="A3" i="6"/>
  <c r="A3" i="7" s="1"/>
  <c r="A15" i="8"/>
  <c r="A17" i="8"/>
  <c r="A19" i="8" s="1"/>
  <c r="A21" i="8" s="1"/>
  <c r="A27" i="8" s="1"/>
  <c r="A29" i="8" s="1"/>
  <c r="A31" i="8" s="1"/>
  <c r="A39" i="8" s="1"/>
  <c r="E12" i="6"/>
  <c r="C29" i="6"/>
  <c r="D36" i="6"/>
  <c r="B34" i="6" s="1"/>
  <c r="E10" i="5"/>
  <c r="A17" i="5"/>
  <c r="F54" i="2"/>
  <c r="F128" i="2"/>
  <c r="F216" i="2" s="1"/>
  <c r="F262" i="2" s="1"/>
  <c r="F55" i="2"/>
  <c r="F129" i="2" s="1"/>
  <c r="F217" i="2" s="1"/>
  <c r="F263" i="2" s="1"/>
  <c r="F58" i="2"/>
  <c r="F132" i="2"/>
  <c r="F220" i="2" s="1"/>
  <c r="F266" i="2" s="1"/>
  <c r="B64" i="2"/>
  <c r="B138" i="2"/>
  <c r="B65" i="2"/>
  <c r="B139" i="2" s="1"/>
  <c r="D78" i="2"/>
  <c r="D90" i="2"/>
  <c r="D80" i="2"/>
  <c r="D91" i="2" s="1"/>
  <c r="D82" i="2"/>
  <c r="D92" i="2"/>
  <c r="D84" i="2"/>
  <c r="D93" i="2" s="1"/>
  <c r="D86" i="2"/>
  <c r="D94" i="2"/>
  <c r="E136" i="2"/>
  <c r="L136" i="2"/>
  <c r="E137" i="2"/>
  <c r="G137" i="2"/>
  <c r="I137" i="2"/>
  <c r="L137" i="2"/>
  <c r="G145" i="2"/>
  <c r="D174" i="2"/>
  <c r="H237" i="2"/>
  <c r="H238" i="2"/>
  <c r="G70" i="2"/>
  <c r="C34" i="39"/>
  <c r="I34" i="39"/>
  <c r="C44" i="39"/>
  <c r="I44" i="39"/>
  <c r="K45" i="39"/>
  <c r="C27" i="39"/>
  <c r="C53" i="39"/>
  <c r="I53" i="39"/>
  <c r="I84" i="39"/>
  <c r="D84" i="39"/>
  <c r="O102" i="39"/>
  <c r="J18" i="39"/>
  <c r="K23" i="39"/>
  <c r="I25" i="39"/>
  <c r="D26" i="39"/>
  <c r="D34" i="39"/>
  <c r="K36" i="39"/>
  <c r="D44" i="39"/>
  <c r="D53" i="39"/>
  <c r="K54" i="39"/>
  <c r="K60" i="39"/>
  <c r="C66" i="39"/>
  <c r="G66" i="39" s="1"/>
  <c r="I66" i="39"/>
  <c r="K72" i="39"/>
  <c r="C72" i="39"/>
  <c r="K73" i="39"/>
  <c r="C83" i="39"/>
  <c r="I83" i="39"/>
  <c r="K90" i="39"/>
  <c r="C90" i="39"/>
  <c r="C17" i="39"/>
  <c r="K17" i="39"/>
  <c r="Q102" i="39"/>
  <c r="C19" i="39"/>
  <c r="J20" i="39"/>
  <c r="J22" i="39"/>
  <c r="J23" i="39"/>
  <c r="K27" i="39"/>
  <c r="J28" i="39"/>
  <c r="K38" i="39"/>
  <c r="J39" i="39"/>
  <c r="C40" i="39"/>
  <c r="I40" i="39"/>
  <c r="K46" i="39"/>
  <c r="J48" i="39"/>
  <c r="C49" i="39"/>
  <c r="I49" i="39"/>
  <c r="K55" i="39"/>
  <c r="J56" i="39"/>
  <c r="J60" i="39"/>
  <c r="J66" i="39"/>
  <c r="K75" i="39"/>
  <c r="K103" i="39" s="1"/>
  <c r="C77" i="39"/>
  <c r="D17" i="39"/>
  <c r="I17" i="39"/>
  <c r="R102" i="39"/>
  <c r="I20" i="39"/>
  <c r="C21" i="39"/>
  <c r="D23" i="39"/>
  <c r="J24" i="39"/>
  <c r="C32" i="39"/>
  <c r="C33" i="39"/>
  <c r="D33" i="39"/>
  <c r="D36" i="39"/>
  <c r="C42" i="39"/>
  <c r="C43" i="39"/>
  <c r="D43" i="39"/>
  <c r="D45" i="39"/>
  <c r="C51" i="39"/>
  <c r="C52" i="39"/>
  <c r="D52" i="39"/>
  <c r="D54" i="39"/>
  <c r="K64" i="39"/>
  <c r="C64" i="39"/>
  <c r="G64" i="39" s="1"/>
  <c r="K65" i="39"/>
  <c r="C74" i="39"/>
  <c r="I74" i="39"/>
  <c r="K81" i="39"/>
  <c r="C81" i="39"/>
  <c r="D83" i="39"/>
  <c r="N102" i="39"/>
  <c r="S102" i="39"/>
  <c r="C57" i="39"/>
  <c r="J61" i="39"/>
  <c r="C62" i="39"/>
  <c r="I62" i="39"/>
  <c r="I67" i="39"/>
  <c r="K68" i="39"/>
  <c r="J69" i="39"/>
  <c r="C70" i="39"/>
  <c r="I70" i="39"/>
  <c r="I75" i="39"/>
  <c r="I103" i="39" s="1"/>
  <c r="K77" i="39"/>
  <c r="J78" i="39"/>
  <c r="C79" i="39"/>
  <c r="I79" i="39"/>
  <c r="K85" i="39"/>
  <c r="J86" i="39"/>
  <c r="C87" i="39"/>
  <c r="I87" i="39"/>
  <c r="C65" i="39"/>
  <c r="D65" i="39"/>
  <c r="C73" i="39"/>
  <c r="D73" i="39"/>
  <c r="C82" i="39"/>
  <c r="D82" i="39"/>
  <c r="C91" i="39"/>
  <c r="D91" i="39"/>
  <c r="C31" i="38"/>
  <c r="C71" i="38"/>
  <c r="J71" i="38"/>
  <c r="I79" i="38"/>
  <c r="D79" i="38"/>
  <c r="K85" i="38"/>
  <c r="C85" i="38"/>
  <c r="C102" i="38"/>
  <c r="G102" i="38" s="1"/>
  <c r="I102" i="38"/>
  <c r="K105" i="38"/>
  <c r="C105" i="38"/>
  <c r="C108" i="38"/>
  <c r="J108" i="38"/>
  <c r="C109" i="38"/>
  <c r="J109" i="38"/>
  <c r="I116" i="38"/>
  <c r="D116" i="38"/>
  <c r="C28" i="38"/>
  <c r="J28" i="38"/>
  <c r="C33" i="38"/>
  <c r="C35" i="38"/>
  <c r="K43" i="38"/>
  <c r="I50" i="38"/>
  <c r="J52" i="38"/>
  <c r="C53" i="38"/>
  <c r="I53" i="38"/>
  <c r="I60" i="38"/>
  <c r="K72" i="38"/>
  <c r="K86" i="38"/>
  <c r="C88" i="38"/>
  <c r="I88" i="38"/>
  <c r="J95" i="38"/>
  <c r="J102" i="38"/>
  <c r="K108" i="38"/>
  <c r="K109" i="38"/>
  <c r="K120" i="38"/>
  <c r="I127" i="38"/>
  <c r="C127" i="38"/>
  <c r="C29" i="38"/>
  <c r="K31" i="38"/>
  <c r="K32" i="38"/>
  <c r="I33" i="38"/>
  <c r="D34" i="38"/>
  <c r="K35" i="38"/>
  <c r="J36" i="38"/>
  <c r="K38" i="38"/>
  <c r="C39" i="38"/>
  <c r="C40" i="38"/>
  <c r="D40" i="38"/>
  <c r="J43" i="38"/>
  <c r="K44" i="38"/>
  <c r="J45" i="38"/>
  <c r="K46" i="38"/>
  <c r="C47" i="38"/>
  <c r="C48" i="38"/>
  <c r="D48" i="38"/>
  <c r="J51" i="38"/>
  <c r="K52" i="38"/>
  <c r="J53" i="38"/>
  <c r="K54" i="38"/>
  <c r="C55" i="38"/>
  <c r="C57" i="38"/>
  <c r="D57" i="38"/>
  <c r="I73" i="38"/>
  <c r="C74" i="38"/>
  <c r="D76" i="38"/>
  <c r="C81" i="38"/>
  <c r="I81" i="38"/>
  <c r="J86" i="38"/>
  <c r="D86" i="38"/>
  <c r="K87" i="38"/>
  <c r="C87" i="38"/>
  <c r="C90" i="38"/>
  <c r="J90" i="38"/>
  <c r="C91" i="38"/>
  <c r="J91" i="38"/>
  <c r="D94" i="38"/>
  <c r="C95" i="38"/>
  <c r="I100" i="38"/>
  <c r="D100" i="38"/>
  <c r="C101" i="38"/>
  <c r="G101" i="38" s="1"/>
  <c r="K103" i="38"/>
  <c r="C103" i="38"/>
  <c r="C104" i="38"/>
  <c r="I110" i="38"/>
  <c r="D113" i="38"/>
  <c r="C118" i="38"/>
  <c r="I118" i="38"/>
  <c r="J120" i="38"/>
  <c r="D120" i="38"/>
  <c r="K125" i="38"/>
  <c r="C125" i="38"/>
  <c r="C128" i="38"/>
  <c r="G128" i="38" s="1"/>
  <c r="J128" i="38"/>
  <c r="C129" i="38"/>
  <c r="J129" i="38"/>
  <c r="D132" i="38"/>
  <c r="D134" i="38"/>
  <c r="C138" i="38"/>
  <c r="J138" i="38"/>
  <c r="C72" i="38"/>
  <c r="J72" i="38"/>
  <c r="K119" i="38"/>
  <c r="C119" i="38"/>
  <c r="J133" i="38"/>
  <c r="C133" i="38"/>
  <c r="C34" i="38"/>
  <c r="G34" i="38" s="1"/>
  <c r="J35" i="38"/>
  <c r="C36" i="38"/>
  <c r="C67" i="38" s="1"/>
  <c r="I36" i="38"/>
  <c r="I42" i="38"/>
  <c r="J44" i="38"/>
  <c r="C45" i="38"/>
  <c r="I45" i="38"/>
  <c r="K51" i="38"/>
  <c r="D71" i="38"/>
  <c r="I74" i="38"/>
  <c r="I89" i="38"/>
  <c r="C89" i="38"/>
  <c r="I111" i="38"/>
  <c r="C126" i="38"/>
  <c r="G126" i="38" s="1"/>
  <c r="I126" i="38"/>
  <c r="D133" i="38"/>
  <c r="C32" i="38"/>
  <c r="C41" i="38"/>
  <c r="I41" i="38"/>
  <c r="I44" i="38"/>
  <c r="C49" i="38"/>
  <c r="I49" i="38"/>
  <c r="I52" i="38"/>
  <c r="C58" i="38"/>
  <c r="I58" i="38"/>
  <c r="D89" i="38"/>
  <c r="D98" i="38"/>
  <c r="J101" i="38"/>
  <c r="C106" i="38"/>
  <c r="I106" i="38"/>
  <c r="I107" i="38"/>
  <c r="C107" i="38"/>
  <c r="D127" i="38"/>
  <c r="K136" i="38"/>
  <c r="C136" i="38"/>
  <c r="K76" i="38"/>
  <c r="I78" i="38"/>
  <c r="J88" i="38"/>
  <c r="K95" i="38"/>
  <c r="I99" i="38"/>
  <c r="J106" i="38"/>
  <c r="K113" i="38"/>
  <c r="I115" i="38"/>
  <c r="J126" i="38"/>
  <c r="K134" i="38"/>
  <c r="K71" i="38"/>
  <c r="D72" i="38"/>
  <c r="J73" i="38"/>
  <c r="C77" i="38"/>
  <c r="K80" i="38"/>
  <c r="I85" i="38"/>
  <c r="D91" i="38"/>
  <c r="J92" i="38"/>
  <c r="C98" i="38"/>
  <c r="K101" i="38"/>
  <c r="I103" i="38"/>
  <c r="D109" i="38"/>
  <c r="J110" i="38"/>
  <c r="C114" i="38"/>
  <c r="K117" i="38"/>
  <c r="I119" i="38"/>
  <c r="D129" i="38"/>
  <c r="K130" i="38"/>
  <c r="D138" i="38"/>
  <c r="D130" i="38"/>
  <c r="J131" i="38"/>
  <c r="J135" i="38"/>
  <c r="I136" i="38"/>
  <c r="G20" i="38"/>
  <c r="C47" i="13"/>
  <c r="C47" i="20"/>
  <c r="G177" i="2"/>
  <c r="L172" i="2"/>
  <c r="E20" i="11"/>
  <c r="G20" i="11" s="1"/>
  <c r="A3" i="8"/>
  <c r="G60" i="6"/>
  <c r="G29" i="6" s="1"/>
  <c r="D95" i="41"/>
  <c r="D104" i="41" s="1"/>
  <c r="E106" i="2"/>
  <c r="J99" i="13"/>
  <c r="E102" i="13" s="1"/>
  <c r="F102" i="13" s="1"/>
  <c r="I57" i="30"/>
  <c r="I56" i="30"/>
  <c r="E67" i="11"/>
  <c r="G67" i="11"/>
  <c r="I67" i="11"/>
  <c r="I51" i="30"/>
  <c r="M107" i="13"/>
  <c r="M103" i="13"/>
  <c r="M105" i="13"/>
  <c r="M106" i="13"/>
  <c r="M104" i="13"/>
  <c r="O105" i="13"/>
  <c r="O103" i="13"/>
  <c r="O104" i="13"/>
  <c r="O107" i="13"/>
  <c r="O106" i="13"/>
  <c r="O108" i="13"/>
  <c r="M109" i="13"/>
  <c r="M108" i="13"/>
  <c r="O109" i="13"/>
  <c r="F66" i="38"/>
  <c r="G62" i="38"/>
  <c r="E100" i="41"/>
  <c r="D103" i="41"/>
  <c r="D105" i="41" s="1"/>
  <c r="G19" i="38"/>
  <c r="F23" i="38"/>
  <c r="G141" i="38"/>
  <c r="I34" i="5"/>
  <c r="C95" i="41"/>
  <c r="C104" i="41" s="1"/>
  <c r="C103" i="41"/>
  <c r="C105" i="41" s="1"/>
  <c r="E88" i="41"/>
  <c r="E103" i="41" s="1"/>
  <c r="E105" i="41" s="1"/>
  <c r="A29" i="30"/>
  <c r="A39" i="30" s="1"/>
  <c r="A50" i="30" s="1"/>
  <c r="A57" i="30" s="1"/>
  <c r="A66" i="30" s="1"/>
  <c r="A67" i="30" s="1"/>
  <c r="A69" i="30" s="1"/>
  <c r="A71" i="30" s="1"/>
  <c r="A77" i="30" s="1"/>
  <c r="A78" i="30" s="1"/>
  <c r="A80" i="30" s="1"/>
  <c r="A81" i="30" s="1"/>
  <c r="A85" i="30" s="1"/>
  <c r="A89" i="30" s="1"/>
  <c r="A99" i="30" s="1"/>
  <c r="A106" i="30" s="1"/>
  <c r="A109" i="30" s="1"/>
  <c r="A114" i="30" s="1"/>
  <c r="A117" i="30" s="1"/>
  <c r="A120" i="30" s="1"/>
  <c r="E66" i="38"/>
  <c r="I26" i="5"/>
  <c r="B15" i="2"/>
  <c r="E95" i="41"/>
  <c r="G27" i="48"/>
  <c r="G25" i="48"/>
  <c r="G48" i="20"/>
  <c r="D24" i="49"/>
  <c r="D25" i="49"/>
  <c r="D23" i="32"/>
  <c r="H23" i="32" s="1"/>
  <c r="K23" i="32" s="1"/>
  <c r="I60" i="6"/>
  <c r="I29" i="6" s="1"/>
  <c r="I98" i="20"/>
  <c r="E101" i="20" s="1"/>
  <c r="F101" i="20" s="1"/>
  <c r="D102" i="20" s="1"/>
  <c r="G27" i="2"/>
  <c r="L27" i="2" s="1"/>
  <c r="O26" i="20"/>
  <c r="A28" i="48"/>
  <c r="A37" i="48" s="1"/>
  <c r="E101" i="41"/>
  <c r="E249" i="2"/>
  <c r="B23" i="7"/>
  <c r="G89" i="6"/>
  <c r="G30" i="6" s="1"/>
  <c r="G31" i="6" s="1"/>
  <c r="G119" i="2" s="1"/>
  <c r="L119" i="2" s="1"/>
  <c r="E108" i="2"/>
  <c r="D26" i="49"/>
  <c r="D27" i="49" s="1"/>
  <c r="D28" i="49" s="1"/>
  <c r="D29" i="49" s="1"/>
  <c r="D30" i="49" s="1"/>
  <c r="D31" i="49" s="1"/>
  <c r="D32" i="49" s="1"/>
  <c r="D33" i="49" s="1"/>
  <c r="D34" i="49" s="1"/>
  <c r="A36" i="9"/>
  <c r="A37" i="9" s="1"/>
  <c r="A38" i="9"/>
  <c r="A39" i="9" s="1"/>
  <c r="A40" i="9"/>
  <c r="A41" i="9" s="1"/>
  <c r="E161" i="2" s="1"/>
  <c r="E146" i="2"/>
  <c r="D24" i="32"/>
  <c r="G97" i="39"/>
  <c r="A18" i="5"/>
  <c r="A19" i="5"/>
  <c r="A20" i="5" s="1"/>
  <c r="A23" i="5"/>
  <c r="A25" i="5" s="1"/>
  <c r="A26" i="5" s="1"/>
  <c r="A27" i="5" s="1"/>
  <c r="A28" i="5" s="1"/>
  <c r="A31" i="5" s="1"/>
  <c r="A33" i="5" s="1"/>
  <c r="D20" i="5"/>
  <c r="E76" i="41"/>
  <c r="E89" i="41"/>
  <c r="E104" i="41"/>
  <c r="O33" i="21"/>
  <c r="G209" i="2"/>
  <c r="F80" i="35"/>
  <c r="G108" i="2"/>
  <c r="L108" i="2" s="1"/>
  <c r="E23" i="38"/>
  <c r="E52" i="5"/>
  <c r="A44" i="9"/>
  <c r="A45" i="9" s="1"/>
  <c r="A46" i="9" s="1"/>
  <c r="A47" i="9" s="1"/>
  <c r="A48" i="9" s="1"/>
  <c r="A49" i="9" s="1"/>
  <c r="A50" i="9" s="1"/>
  <c r="A51" i="9" s="1"/>
  <c r="A52" i="9" s="1"/>
  <c r="A53" i="9" s="1"/>
  <c r="A54" i="9" s="1"/>
  <c r="A55" i="9" s="1"/>
  <c r="A56" i="9" s="1"/>
  <c r="A57" i="9" s="1"/>
  <c r="A58" i="9" s="1"/>
  <c r="A59" i="9" s="1"/>
  <c r="A61" i="9" s="1"/>
  <c r="D25" i="32"/>
  <c r="D26" i="32"/>
  <c r="D27" i="32" s="1"/>
  <c r="F35" i="10" l="1"/>
  <c r="F340" i="2" s="1"/>
  <c r="G189" i="2" s="1"/>
  <c r="G193" i="2" s="1"/>
  <c r="L200" i="2" s="1"/>
  <c r="F38" i="20" s="1"/>
  <c r="D64" i="35"/>
  <c r="L80" i="2" s="1"/>
  <c r="J80" i="2" s="1"/>
  <c r="G87" i="2"/>
  <c r="A81" i="38"/>
  <c r="A82" i="38" s="1"/>
  <c r="A83" i="38" s="1"/>
  <c r="A84" i="38" s="1"/>
  <c r="A85" i="38" s="1"/>
  <c r="A86" i="38" s="1"/>
  <c r="A87" i="38" s="1"/>
  <c r="A88" i="38" s="1"/>
  <c r="A89" i="38" s="1"/>
  <c r="A90" i="38" s="1"/>
  <c r="A91" i="38" s="1"/>
  <c r="A92" i="38" s="1"/>
  <c r="G88" i="38"/>
  <c r="G35" i="38"/>
  <c r="G150" i="38"/>
  <c r="G134" i="38"/>
  <c r="G74" i="38"/>
  <c r="G79" i="38"/>
  <c r="G109" i="38"/>
  <c r="G33" i="38"/>
  <c r="G108" i="38"/>
  <c r="K67" i="38"/>
  <c r="G98" i="38"/>
  <c r="G107" i="38"/>
  <c r="G110" i="38"/>
  <c r="G81" i="38"/>
  <c r="G52" i="38"/>
  <c r="A26" i="39"/>
  <c r="A27" i="39" s="1"/>
  <c r="A28" i="39" s="1"/>
  <c r="A29" i="39" s="1"/>
  <c r="A30" i="39" s="1"/>
  <c r="A31" i="39" s="1"/>
  <c r="E41" i="9"/>
  <c r="F25" i="32"/>
  <c r="F26" i="32" s="1"/>
  <c r="F27" i="32" s="1"/>
  <c r="F28" i="32" s="1"/>
  <c r="F29" i="32" s="1"/>
  <c r="F30" i="32" s="1"/>
  <c r="F31" i="32" s="1"/>
  <c r="F32" i="32" s="1"/>
  <c r="F33" i="32" s="1"/>
  <c r="F34" i="32" s="1"/>
  <c r="H24" i="32"/>
  <c r="K24" i="32" s="1"/>
  <c r="H25" i="32"/>
  <c r="K25" i="32" s="1"/>
  <c r="H27" i="32"/>
  <c r="K27" i="32" s="1"/>
  <c r="G106" i="38"/>
  <c r="K154" i="38"/>
  <c r="G54" i="38"/>
  <c r="N89" i="20"/>
  <c r="N90" i="20" s="1"/>
  <c r="E37" i="11"/>
  <c r="K37" i="11" s="1"/>
  <c r="K43" i="11" s="1"/>
  <c r="G185" i="2" s="1"/>
  <c r="C28" i="48"/>
  <c r="D27" i="48" s="1"/>
  <c r="E27" i="48" s="1"/>
  <c r="H27" i="48" s="1"/>
  <c r="I27" i="48" s="1"/>
  <c r="G74" i="39"/>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90" i="13"/>
  <c r="N21" i="13" s="1"/>
  <c r="J154" i="38"/>
  <c r="I154" i="38"/>
  <c r="G136" i="38"/>
  <c r="G104" i="38"/>
  <c r="G87" i="38"/>
  <c r="D154" i="38"/>
  <c r="E35" i="5"/>
  <c r="E33" i="5"/>
  <c r="G103" i="38"/>
  <c r="G29" i="38"/>
  <c r="I167" i="38"/>
  <c r="G95" i="38"/>
  <c r="G73" i="38"/>
  <c r="G112" i="38"/>
  <c r="G131" i="38"/>
  <c r="K167" i="38"/>
  <c r="A36" i="38"/>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G45" i="38"/>
  <c r="J67" i="38"/>
  <c r="E27" i="5"/>
  <c r="E25" i="5"/>
  <c r="E17" i="5"/>
  <c r="E19" i="5"/>
  <c r="G17" i="39"/>
  <c r="G91" i="39"/>
  <c r="G85" i="39"/>
  <c r="G28" i="39"/>
  <c r="G20" i="39"/>
  <c r="D102" i="39"/>
  <c r="E43" i="5"/>
  <c r="E41" i="5"/>
  <c r="G120" i="38"/>
  <c r="G113" i="38"/>
  <c r="G75" i="38"/>
  <c r="G90" i="38"/>
  <c r="G117" i="38"/>
  <c r="C154" i="38"/>
  <c r="G132" i="38"/>
  <c r="G80" i="38"/>
  <c r="G33" i="5"/>
  <c r="G35" i="5"/>
  <c r="G100" i="38"/>
  <c r="G78" i="38"/>
  <c r="I67" i="38"/>
  <c r="G25" i="5"/>
  <c r="G27" i="5"/>
  <c r="G19" i="5"/>
  <c r="I19" i="5" s="1"/>
  <c r="G17" i="5"/>
  <c r="G54" i="39"/>
  <c r="G45" i="39"/>
  <c r="G36" i="39"/>
  <c r="G41" i="5"/>
  <c r="G43" i="5"/>
  <c r="G43" i="39"/>
  <c r="G33" i="39"/>
  <c r="L229" i="2"/>
  <c r="L231" i="2" s="1"/>
  <c r="E61" i="9"/>
  <c r="I50" i="30"/>
  <c r="M43" i="11"/>
  <c r="G184" i="2" s="1"/>
  <c r="L184" i="2" s="1"/>
  <c r="G86" i="38"/>
  <c r="G118" i="38"/>
  <c r="G76" i="38"/>
  <c r="G85" i="38"/>
  <c r="G93" i="38"/>
  <c r="G94" i="38"/>
  <c r="G119" i="38"/>
  <c r="G72" i="38"/>
  <c r="G58" i="38"/>
  <c r="G55" i="38"/>
  <c r="G28" i="38"/>
  <c r="D67" i="38"/>
  <c r="G50" i="38"/>
  <c r="K147" i="38"/>
  <c r="K153" i="38" s="1"/>
  <c r="G125" i="38"/>
  <c r="G53" i="38"/>
  <c r="G92" i="38"/>
  <c r="G154" i="38" s="1"/>
  <c r="G114" i="38"/>
  <c r="G116" i="38"/>
  <c r="C167" i="38"/>
  <c r="G51" i="5"/>
  <c r="G71" i="38"/>
  <c r="G130" i="38"/>
  <c r="G36" i="38"/>
  <c r="G133" i="38"/>
  <c r="G129" i="38"/>
  <c r="G44" i="38"/>
  <c r="J147" i="38"/>
  <c r="J153" i="38" s="1"/>
  <c r="G139" i="38"/>
  <c r="G144" i="38"/>
  <c r="G46" i="38"/>
  <c r="G51" i="38"/>
  <c r="G43" i="38"/>
  <c r="G31" i="38"/>
  <c r="G40" i="38"/>
  <c r="G41" i="38"/>
  <c r="G48" i="38"/>
  <c r="G39" i="38"/>
  <c r="G60" i="38"/>
  <c r="G49" i="38"/>
  <c r="G32" i="38"/>
  <c r="G57" i="38"/>
  <c r="G47" i="38"/>
  <c r="K66" i="38"/>
  <c r="G42" i="38"/>
  <c r="D35" i="5"/>
  <c r="A154" i="38"/>
  <c r="F147" i="38"/>
  <c r="F153" i="38" s="1"/>
  <c r="G38" i="38"/>
  <c r="G99" i="38"/>
  <c r="G115" i="38"/>
  <c r="G140" i="38"/>
  <c r="A151" i="38"/>
  <c r="G91" i="38"/>
  <c r="G127" i="38"/>
  <c r="G89" i="38"/>
  <c r="G105" i="38"/>
  <c r="J66" i="38"/>
  <c r="G138" i="38"/>
  <c r="G111" i="38"/>
  <c r="G17" i="38"/>
  <c r="G23" i="38" s="1"/>
  <c r="G100" i="39"/>
  <c r="G24" i="39"/>
  <c r="G50" i="39"/>
  <c r="G52" i="39"/>
  <c r="G21" i="39"/>
  <c r="G27" i="39"/>
  <c r="G25" i="39"/>
  <c r="G26" i="39"/>
  <c r="G31" i="39"/>
  <c r="G70" i="39"/>
  <c r="G83" i="39"/>
  <c r="G77" i="39"/>
  <c r="G78" i="39"/>
  <c r="G44" i="39"/>
  <c r="G40" i="39"/>
  <c r="G62" i="39"/>
  <c r="G67" i="39"/>
  <c r="G69" i="39"/>
  <c r="G86" i="39"/>
  <c r="G82" i="39"/>
  <c r="G23" i="39"/>
  <c r="G39" i="39"/>
  <c r="G61" i="39"/>
  <c r="G81" i="39"/>
  <c r="G18" i="39"/>
  <c r="G22" i="39"/>
  <c r="G38" i="39"/>
  <c r="G55" i="39"/>
  <c r="G63" i="39"/>
  <c r="G68" i="39"/>
  <c r="G79" i="39"/>
  <c r="G57" i="39"/>
  <c r="J102" i="39"/>
  <c r="G84" i="39"/>
  <c r="G89" i="39"/>
  <c r="K102" i="39"/>
  <c r="G49" i="39"/>
  <c r="G90" i="39"/>
  <c r="G41" i="39"/>
  <c r="I102" i="39"/>
  <c r="G65" i="39"/>
  <c r="G51" i="39"/>
  <c r="G53" i="39"/>
  <c r="G46" i="39"/>
  <c r="G72" i="39"/>
  <c r="G75" i="39"/>
  <c r="G103" i="39" s="1"/>
  <c r="G80" i="39"/>
  <c r="G94" i="39"/>
  <c r="E102" i="39"/>
  <c r="G73" i="39"/>
  <c r="G34" i="39"/>
  <c r="G32" i="39"/>
  <c r="G56" i="39"/>
  <c r="G71" i="39"/>
  <c r="G87" i="39"/>
  <c r="G94" i="2"/>
  <c r="G93" i="2"/>
  <c r="K48" i="11" s="1"/>
  <c r="G90" i="2"/>
  <c r="E48" i="11" s="1"/>
  <c r="E51" i="11" s="1"/>
  <c r="G23" i="41"/>
  <c r="E22" i="20"/>
  <c r="H42" i="41"/>
  <c r="G255" i="2" s="1"/>
  <c r="L252" i="2"/>
  <c r="G257" i="2" s="1"/>
  <c r="J27" i="8"/>
  <c r="J31" i="8" s="1"/>
  <c r="E71" i="9"/>
  <c r="P126" i="13"/>
  <c r="G149" i="2"/>
  <c r="G113" i="2" s="1"/>
  <c r="P114" i="13"/>
  <c r="E60" i="6"/>
  <c r="E29" i="6" s="1"/>
  <c r="J60" i="6"/>
  <c r="J29" i="6" s="1"/>
  <c r="P155" i="13"/>
  <c r="P153" i="13"/>
  <c r="P129" i="13"/>
  <c r="P102" i="13"/>
  <c r="P158" i="13"/>
  <c r="P154" i="13"/>
  <c r="P130" i="13"/>
  <c r="P118" i="13"/>
  <c r="K47" i="48"/>
  <c r="P111" i="13"/>
  <c r="P108" i="13"/>
  <c r="H239" i="2"/>
  <c r="P161" i="13"/>
  <c r="P145" i="13"/>
  <c r="P141" i="13"/>
  <c r="P137" i="13"/>
  <c r="P133" i="13"/>
  <c r="P125" i="13"/>
  <c r="P117" i="13"/>
  <c r="P106" i="13"/>
  <c r="S22" i="21"/>
  <c r="P138" i="13"/>
  <c r="P134" i="13"/>
  <c r="P122" i="13"/>
  <c r="P110" i="13"/>
  <c r="E162" i="2"/>
  <c r="A64" i="9"/>
  <c r="A65" i="9" s="1"/>
  <c r="A66" i="9" s="1"/>
  <c r="A67" i="9" s="1"/>
  <c r="A69" i="9" s="1"/>
  <c r="A71" i="9" s="1"/>
  <c r="E163" i="2" s="1"/>
  <c r="D36" i="5"/>
  <c r="A34" i="5"/>
  <c r="A35" i="5" s="1"/>
  <c r="A36" i="5" s="1"/>
  <c r="A39" i="5" s="1"/>
  <c r="A41" i="5" s="1"/>
  <c r="H26" i="32"/>
  <c r="L246" i="2"/>
  <c r="C66" i="38"/>
  <c r="I147" i="38"/>
  <c r="I153" i="38" s="1"/>
  <c r="D28" i="32"/>
  <c r="G19" i="39"/>
  <c r="C102" i="39"/>
  <c r="I52" i="5"/>
  <c r="L103" i="2" s="1"/>
  <c r="G77" i="38"/>
  <c r="C147" i="38"/>
  <c r="C153" i="38" s="1"/>
  <c r="E250" i="2"/>
  <c r="E248" i="2"/>
  <c r="A29" i="41"/>
  <c r="A30" i="41" s="1"/>
  <c r="A31" i="41" s="1"/>
  <c r="A32" i="41" s="1"/>
  <c r="A33" i="41" s="1"/>
  <c r="A34" i="41" s="1"/>
  <c r="A35" i="41" s="1"/>
  <c r="A36" i="41" s="1"/>
  <c r="A37" i="41" s="1"/>
  <c r="A38" i="41" s="1"/>
  <c r="A39" i="41" s="1"/>
  <c r="A40" i="41" s="1"/>
  <c r="A41" i="41" s="1"/>
  <c r="A42" i="41" s="1"/>
  <c r="E251" i="2"/>
  <c r="D28" i="5"/>
  <c r="E66" i="2"/>
  <c r="E73" i="2"/>
  <c r="F26" i="49"/>
  <c r="H25" i="49"/>
  <c r="K25" i="49" s="1"/>
  <c r="J89" i="6"/>
  <c r="J30" i="6" s="1"/>
  <c r="J31" i="6" s="1"/>
  <c r="G117" i="2" s="1"/>
  <c r="B18" i="2"/>
  <c r="B20" i="2" s="1"/>
  <c r="B27" i="2" s="1"/>
  <c r="B29" i="2" s="1"/>
  <c r="B30" i="2" s="1"/>
  <c r="E184" i="2"/>
  <c r="E181" i="2"/>
  <c r="A48" i="11"/>
  <c r="E185" i="2"/>
  <c r="E71" i="2"/>
  <c r="E67" i="2"/>
  <c r="E70" i="2"/>
  <c r="E74" i="2"/>
  <c r="E72" i="2"/>
  <c r="A29" i="35"/>
  <c r="A30" i="35" s="1"/>
  <c r="A31" i="35" s="1"/>
  <c r="A32" i="35" s="1"/>
  <c r="A33" i="35" s="1"/>
  <c r="A34" i="35" s="1"/>
  <c r="A35" i="35" s="1"/>
  <c r="A36" i="35" s="1"/>
  <c r="A37" i="35" s="1"/>
  <c r="A38" i="35" s="1"/>
  <c r="A39" i="35" s="1"/>
  <c r="A40" i="35" s="1"/>
  <c r="A41" i="35" s="1"/>
  <c r="A42" i="35" s="1"/>
  <c r="D66" i="38"/>
  <c r="H24" i="49"/>
  <c r="E89" i="6"/>
  <c r="E30" i="6" s="1"/>
  <c r="K89" i="6"/>
  <c r="K30" i="6" s="1"/>
  <c r="K31" i="6" s="1"/>
  <c r="K43" i="48"/>
  <c r="A39" i="48"/>
  <c r="D147" i="38"/>
  <c r="D153" i="38" s="1"/>
  <c r="G42" i="39"/>
  <c r="I43" i="11"/>
  <c r="G181" i="2" s="1"/>
  <c r="I31" i="6"/>
  <c r="G118" i="2" s="1"/>
  <c r="G91" i="2"/>
  <c r="G48" i="11" s="1"/>
  <c r="G51" i="11" s="1"/>
  <c r="G53" i="11" s="1"/>
  <c r="G55" i="11" s="1"/>
  <c r="E23" i="11"/>
  <c r="G23" i="11" s="1"/>
  <c r="G43" i="11" s="1"/>
  <c r="G183" i="2" s="1"/>
  <c r="E27" i="30"/>
  <c r="E120" i="30" s="1"/>
  <c r="E147" i="38"/>
  <c r="E153" i="38" s="1"/>
  <c r="G142" i="38"/>
  <c r="I66" i="38"/>
  <c r="G143" i="38"/>
  <c r="G48" i="39"/>
  <c r="P159" i="13"/>
  <c r="P151" i="13"/>
  <c r="P147" i="13"/>
  <c r="P143" i="13"/>
  <c r="P139" i="13"/>
  <c r="P131" i="13"/>
  <c r="P123" i="13"/>
  <c r="P119" i="13"/>
  <c r="P115" i="13"/>
  <c r="G164" i="38"/>
  <c r="G167" i="38" s="1"/>
  <c r="G60" i="39"/>
  <c r="F88" i="35"/>
  <c r="G110" i="2" s="1"/>
  <c r="D31" i="6"/>
  <c r="I56" i="49"/>
  <c r="S17" i="21"/>
  <c r="P144" i="13"/>
  <c r="P128" i="13"/>
  <c r="P157" i="13"/>
  <c r="P121" i="13"/>
  <c r="P113" i="13"/>
  <c r="P105" i="13"/>
  <c r="P132" i="13"/>
  <c r="P156" i="13"/>
  <c r="P152" i="13"/>
  <c r="P148" i="13"/>
  <c r="P140" i="13"/>
  <c r="P136" i="13"/>
  <c r="P120" i="13"/>
  <c r="P116" i="13"/>
  <c r="P112" i="13"/>
  <c r="P127" i="13"/>
  <c r="P160" i="13"/>
  <c r="G200" i="2"/>
  <c r="G201" i="2"/>
  <c r="L78" i="2"/>
  <c r="L90" i="2" s="1"/>
  <c r="P107" i="13"/>
  <c r="P104" i="13"/>
  <c r="P103" i="13"/>
  <c r="P150" i="13"/>
  <c r="P135" i="13"/>
  <c r="P109" i="13"/>
  <c r="P149" i="13"/>
  <c r="P146" i="13"/>
  <c r="P142" i="13"/>
  <c r="D103" i="13"/>
  <c r="G102" i="13"/>
  <c r="L68" i="2"/>
  <c r="G92" i="2"/>
  <c r="L70" i="2"/>
  <c r="L92" i="2" s="1"/>
  <c r="G75" i="2"/>
  <c r="E102" i="20"/>
  <c r="P124" i="13"/>
  <c r="G159" i="2"/>
  <c r="G199" i="2"/>
  <c r="L201" i="2"/>
  <c r="J174" i="2" l="1"/>
  <c r="L174" i="2" s="1"/>
  <c r="J81" i="2"/>
  <c r="L81" i="2" s="1"/>
  <c r="D24" i="48"/>
  <c r="E24" i="48" s="1"/>
  <c r="G164" i="2" s="1"/>
  <c r="D25" i="48"/>
  <c r="E25" i="48" s="1"/>
  <c r="H25" i="48" s="1"/>
  <c r="I25" i="48" s="1"/>
  <c r="D26" i="48"/>
  <c r="E26" i="48" s="1"/>
  <c r="H26" i="48" s="1"/>
  <c r="I26" i="48" s="1"/>
  <c r="E62" i="11"/>
  <c r="E64" i="11" s="1"/>
  <c r="A58" i="38"/>
  <c r="A59" i="38" s="1"/>
  <c r="A60" i="38" s="1"/>
  <c r="A61" i="38" s="1"/>
  <c r="A62" i="38" s="1"/>
  <c r="A63" i="38" s="1"/>
  <c r="E43" i="11"/>
  <c r="A93" i="38"/>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32" i="39"/>
  <c r="A33" i="39" s="1"/>
  <c r="E31" i="6"/>
  <c r="G120" i="2" s="1"/>
  <c r="L120" i="2" s="1"/>
  <c r="F41" i="32"/>
  <c r="F42" i="32" s="1"/>
  <c r="F43" i="32" s="1"/>
  <c r="F38" i="32"/>
  <c r="D22" i="48"/>
  <c r="E22" i="48" s="1"/>
  <c r="H22" i="48" s="1"/>
  <c r="I22" i="48" s="1"/>
  <c r="D23" i="48"/>
  <c r="E23" i="48" s="1"/>
  <c r="H23" i="48" s="1"/>
  <c r="I23" i="48" s="1"/>
  <c r="N90" i="13"/>
  <c r="O21" i="13" s="1"/>
  <c r="I35" i="5"/>
  <c r="E36" i="5"/>
  <c r="I27" i="5"/>
  <c r="E28" i="5"/>
  <c r="E20" i="5"/>
  <c r="E44" i="5"/>
  <c r="I43" i="5"/>
  <c r="I33" i="5"/>
  <c r="G36" i="5"/>
  <c r="G67" i="38"/>
  <c r="I25" i="5"/>
  <c r="G28" i="5"/>
  <c r="I17" i="5"/>
  <c r="G20" i="5"/>
  <c r="G44" i="5"/>
  <c r="I41" i="5"/>
  <c r="I49" i="5"/>
  <c r="I51" i="5" s="1"/>
  <c r="G103" i="2" s="1"/>
  <c r="G66" i="38"/>
  <c r="D34" i="5"/>
  <c r="A156" i="38"/>
  <c r="A158" i="38" s="1"/>
  <c r="A160" i="38" s="1"/>
  <c r="A162" i="38" s="1"/>
  <c r="A163" i="38" s="1"/>
  <c r="A164" i="38" s="1"/>
  <c r="A165" i="38" s="1"/>
  <c r="A166" i="38" s="1"/>
  <c r="A167" i="38" s="1"/>
  <c r="D52" i="5" s="1"/>
  <c r="G102" i="39"/>
  <c r="G62" i="11"/>
  <c r="G64" i="11" s="1"/>
  <c r="G66" i="11" s="1"/>
  <c r="K62" i="11"/>
  <c r="K64" i="11" s="1"/>
  <c r="K66" i="11" s="1"/>
  <c r="K51" i="11"/>
  <c r="G258" i="2"/>
  <c r="H256" i="2" s="1"/>
  <c r="I256" i="2" s="1"/>
  <c r="L256" i="2" s="1"/>
  <c r="G165" i="2"/>
  <c r="G167" i="2" s="1"/>
  <c r="G169" i="2" s="1"/>
  <c r="S33" i="21"/>
  <c r="L209" i="2" s="1"/>
  <c r="H28" i="32"/>
  <c r="K28" i="32" s="1"/>
  <c r="D29" i="32"/>
  <c r="F44" i="32"/>
  <c r="A50" i="11"/>
  <c r="A51" i="11" s="1"/>
  <c r="C51" i="11"/>
  <c r="D33" i="2"/>
  <c r="E31" i="2"/>
  <c r="B31" i="2"/>
  <c r="B33" i="2" s="1"/>
  <c r="B34" i="2" s="1"/>
  <c r="G147" i="38"/>
  <c r="G153" i="38" s="1"/>
  <c r="K24" i="49"/>
  <c r="E20" i="2"/>
  <c r="E38" i="13"/>
  <c r="E83" i="2"/>
  <c r="E86" i="2"/>
  <c r="A49" i="35"/>
  <c r="A50" i="35" s="1"/>
  <c r="A51" i="35" s="1"/>
  <c r="A52" i="35" s="1"/>
  <c r="A53" i="35" s="1"/>
  <c r="A54" i="35" s="1"/>
  <c r="A55" i="35" s="1"/>
  <c r="A56" i="35" s="1"/>
  <c r="A57" i="35" s="1"/>
  <c r="A58" i="35" s="1"/>
  <c r="A59" i="35" s="1"/>
  <c r="A60" i="35" s="1"/>
  <c r="A61" i="35" s="1"/>
  <c r="A62" i="35" s="1"/>
  <c r="E82" i="2"/>
  <c r="E81" i="2"/>
  <c r="E84" i="2"/>
  <c r="E85" i="2"/>
  <c r="E79" i="2"/>
  <c r="E78" i="2"/>
  <c r="E80" i="2"/>
  <c r="K26" i="32"/>
  <c r="F27" i="49"/>
  <c r="H26" i="49"/>
  <c r="K26" i="49" s="1"/>
  <c r="G186" i="2"/>
  <c r="A41" i="48"/>
  <c r="E153" i="2"/>
  <c r="A48" i="41"/>
  <c r="A49" i="41" s="1"/>
  <c r="A42" i="5"/>
  <c r="A43" i="5" s="1"/>
  <c r="A44" i="5" s="1"/>
  <c r="A47" i="5" s="1"/>
  <c r="A49" i="5" s="1"/>
  <c r="F102" i="20"/>
  <c r="D103" i="20" s="1"/>
  <c r="J235" i="2"/>
  <c r="L235" i="2" s="1"/>
  <c r="L239" i="2" s="1"/>
  <c r="L241" i="2" s="1"/>
  <c r="J149" i="2"/>
  <c r="L149" i="2" s="1"/>
  <c r="J69" i="2"/>
  <c r="L69" i="2" s="1"/>
  <c r="J162" i="2"/>
  <c r="L162" i="2" s="1"/>
  <c r="J114" i="2"/>
  <c r="L114" i="2" s="1"/>
  <c r="J161" i="2"/>
  <c r="L161" i="2" s="1"/>
  <c r="E39" i="13"/>
  <c r="F39" i="20"/>
  <c r="J76" i="2"/>
  <c r="G75" i="20"/>
  <c r="H75" i="13"/>
  <c r="I48" i="11"/>
  <c r="G95" i="2"/>
  <c r="E103" i="13"/>
  <c r="F103" i="13" s="1"/>
  <c r="D104" i="13" s="1"/>
  <c r="E53" i="11"/>
  <c r="F59" i="13"/>
  <c r="G59" i="20"/>
  <c r="H76" i="13"/>
  <c r="G76" i="20"/>
  <c r="L91" i="2" l="1"/>
  <c r="E72" i="11"/>
  <c r="E74" i="11" s="1"/>
  <c r="A127" i="38"/>
  <c r="A128" i="38" s="1"/>
  <c r="A129" i="38" s="1"/>
  <c r="A130" i="38" s="1"/>
  <c r="A131" i="38" s="1"/>
  <c r="A132" i="38" s="1"/>
  <c r="A133" i="38" s="1"/>
  <c r="A134" i="38" s="1"/>
  <c r="A135" i="38" s="1"/>
  <c r="A140" i="38" s="1"/>
  <c r="A141" i="38" s="1"/>
  <c r="A142" i="38" s="1"/>
  <c r="A143" i="38" s="1"/>
  <c r="A34" i="39"/>
  <c r="A35" i="39" s="1"/>
  <c r="A36" i="39" s="1"/>
  <c r="A37" i="39" s="1"/>
  <c r="A38" i="39" s="1"/>
  <c r="A39" i="39" s="1"/>
  <c r="A40" i="39" s="1"/>
  <c r="A41" i="39" s="1"/>
  <c r="A42" i="39" s="1"/>
  <c r="A43" i="39" s="1"/>
  <c r="A49" i="39" s="1"/>
  <c r="A50" i="39" s="1"/>
  <c r="A51" i="39" s="1"/>
  <c r="A52" i="39" s="1"/>
  <c r="A53" i="39" s="1"/>
  <c r="A54" i="39" s="1"/>
  <c r="A55" i="39" s="1"/>
  <c r="G121" i="2"/>
  <c r="P21" i="13"/>
  <c r="O90" i="13"/>
  <c r="G101" i="2"/>
  <c r="I36" i="5"/>
  <c r="L101" i="2" s="1"/>
  <c r="G100" i="2"/>
  <c r="I28" i="5"/>
  <c r="L100" i="2" s="1"/>
  <c r="G99" i="2"/>
  <c r="I20" i="5"/>
  <c r="L99" i="2" s="1"/>
  <c r="I44" i="5"/>
  <c r="L102" i="2" s="1"/>
  <c r="G102" i="2"/>
  <c r="G72" i="11"/>
  <c r="G74" i="11" s="1"/>
  <c r="G76" i="11" s="1"/>
  <c r="K53" i="11"/>
  <c r="K55" i="11" s="1"/>
  <c r="K72" i="11"/>
  <c r="K74" i="11" s="1"/>
  <c r="K76" i="11" s="1"/>
  <c r="K78" i="11" s="1"/>
  <c r="K79" i="11" s="1"/>
  <c r="I68" i="11"/>
  <c r="K68" i="11"/>
  <c r="K69" i="11" s="1"/>
  <c r="G68" i="11"/>
  <c r="G69" i="11" s="1"/>
  <c r="E68" i="11"/>
  <c r="E77" i="41"/>
  <c r="E79" i="41" s="1"/>
  <c r="E80" i="41" s="1"/>
  <c r="E51" i="41" s="1"/>
  <c r="E56" i="41" s="1"/>
  <c r="E58" i="41" s="1"/>
  <c r="J255" i="2" s="1"/>
  <c r="E21" i="13" s="1"/>
  <c r="D22" i="13"/>
  <c r="F22" i="13" s="1"/>
  <c r="D22" i="20"/>
  <c r="F22" i="20" s="1"/>
  <c r="H255" i="2"/>
  <c r="H257" i="2"/>
  <c r="A43" i="48"/>
  <c r="E154" i="2"/>
  <c r="B43" i="48"/>
  <c r="C70" i="20"/>
  <c r="B36" i="2"/>
  <c r="B37" i="2" s="1"/>
  <c r="C70" i="13"/>
  <c r="D36" i="2"/>
  <c r="A52" i="11"/>
  <c r="A53" i="11" s="1"/>
  <c r="A50" i="41"/>
  <c r="A51" i="41" s="1"/>
  <c r="A52" i="41" s="1"/>
  <c r="A53" i="41" s="1"/>
  <c r="A54" i="41" s="1"/>
  <c r="A55" i="41" s="1"/>
  <c r="A56" i="41" s="1"/>
  <c r="D228" i="2"/>
  <c r="D227" i="2"/>
  <c r="F45" i="32"/>
  <c r="A50" i="5"/>
  <c r="A51" i="5" s="1"/>
  <c r="A52" i="5" s="1"/>
  <c r="D44" i="5"/>
  <c r="D30" i="32"/>
  <c r="H29" i="32"/>
  <c r="H77" i="13"/>
  <c r="H78" i="13" s="1"/>
  <c r="H79" i="13" s="1"/>
  <c r="D98" i="13" s="1"/>
  <c r="G103" i="13"/>
  <c r="H27" i="49"/>
  <c r="K27" i="49" s="1"/>
  <c r="F28" i="49"/>
  <c r="G77" i="20"/>
  <c r="G78" i="20" s="1"/>
  <c r="G79" i="20" s="1"/>
  <c r="D97" i="20" s="1"/>
  <c r="J85" i="2"/>
  <c r="L85" i="2" s="1"/>
  <c r="J86" i="2"/>
  <c r="L86" i="2" s="1"/>
  <c r="J176" i="2"/>
  <c r="L176" i="2" s="1"/>
  <c r="J84" i="2"/>
  <c r="L84" i="2" s="1"/>
  <c r="J110" i="2"/>
  <c r="L110" i="2" s="1"/>
  <c r="J117" i="2"/>
  <c r="L117" i="2" s="1"/>
  <c r="J72" i="2"/>
  <c r="L72" i="2" s="1"/>
  <c r="J175" i="2"/>
  <c r="L175" i="2" s="1"/>
  <c r="J164" i="2"/>
  <c r="L164" i="2" s="1"/>
  <c r="J73" i="2"/>
  <c r="L73" i="2" s="1"/>
  <c r="J74" i="2"/>
  <c r="L74" i="2" s="1"/>
  <c r="J181" i="2"/>
  <c r="L181" i="2" s="1"/>
  <c r="J159" i="2"/>
  <c r="L159" i="2" s="1"/>
  <c r="J115" i="2"/>
  <c r="L115" i="2" s="1"/>
  <c r="E66" i="11"/>
  <c r="E104" i="13"/>
  <c r="F104" i="13" s="1"/>
  <c r="G64" i="20"/>
  <c r="F64" i="13"/>
  <c r="E55" i="11"/>
  <c r="E76" i="11"/>
  <c r="E103" i="20"/>
  <c r="F103" i="20" s="1"/>
  <c r="D104" i="20" s="1"/>
  <c r="I62" i="11"/>
  <c r="I51" i="11"/>
  <c r="M48" i="11"/>
  <c r="L113" i="2"/>
  <c r="A56" i="39" l="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G104" i="2"/>
  <c r="G125" i="2" s="1"/>
  <c r="L104" i="2"/>
  <c r="I72" i="11"/>
  <c r="I74" i="11" s="1"/>
  <c r="E69" i="11"/>
  <c r="M68" i="11"/>
  <c r="K57" i="11"/>
  <c r="K58" i="11" s="1"/>
  <c r="L177" i="2"/>
  <c r="E21" i="20"/>
  <c r="L245" i="2"/>
  <c r="D21" i="13"/>
  <c r="F21" i="13" s="1"/>
  <c r="D21" i="20"/>
  <c r="D23" i="13"/>
  <c r="F23" i="13" s="1"/>
  <c r="I257" i="2"/>
  <c r="D23" i="20"/>
  <c r="F23" i="20" s="1"/>
  <c r="D31" i="32"/>
  <c r="H30" i="32"/>
  <c r="K30" i="32" s="1"/>
  <c r="K29" i="32"/>
  <c r="B39" i="2"/>
  <c r="B42" i="2" s="1"/>
  <c r="B44" i="2" s="1"/>
  <c r="B24" i="2"/>
  <c r="A54" i="11"/>
  <c r="A55" i="11" s="1"/>
  <c r="F29" i="49"/>
  <c r="H28" i="49"/>
  <c r="K28" i="49" s="1"/>
  <c r="F46" i="32"/>
  <c r="A58" i="41"/>
  <c r="E245" i="2"/>
  <c r="B58" i="41"/>
  <c r="B56" i="41"/>
  <c r="L94" i="2"/>
  <c r="D51" i="5"/>
  <c r="C53" i="11"/>
  <c r="A45" i="48"/>
  <c r="B47" i="48"/>
  <c r="D105" i="13"/>
  <c r="G104" i="13"/>
  <c r="E104" i="20"/>
  <c r="F104" i="20" s="1"/>
  <c r="D105" i="20" s="1"/>
  <c r="L87" i="2"/>
  <c r="L93" i="2"/>
  <c r="L75" i="2"/>
  <c r="J75" i="2" s="1"/>
  <c r="I53" i="11"/>
  <c r="M51" i="11"/>
  <c r="I64" i="11"/>
  <c r="M62" i="11"/>
  <c r="M72" i="11" l="1"/>
  <c r="A86" i="39"/>
  <c r="A87" i="39" s="1"/>
  <c r="A88" i="39" s="1"/>
  <c r="A89" i="39" s="1"/>
  <c r="A90" i="39" s="1"/>
  <c r="A91" i="39" s="1"/>
  <c r="A92" i="39" s="1"/>
  <c r="A93" i="39" s="1"/>
  <c r="A94" i="39" s="1"/>
  <c r="A95" i="39" s="1"/>
  <c r="A96" i="39" s="1"/>
  <c r="A97" i="39" s="1"/>
  <c r="A98" i="39" s="1"/>
  <c r="A99" i="39" s="1"/>
  <c r="A100" i="39" s="1"/>
  <c r="L95" i="2"/>
  <c r="J95" i="2" s="1"/>
  <c r="F21" i="20"/>
  <c r="F24" i="20" s="1"/>
  <c r="F29" i="20" s="1"/>
  <c r="F24" i="13"/>
  <c r="E29" i="13" s="1"/>
  <c r="L257" i="2"/>
  <c r="I255" i="2"/>
  <c r="L255" i="2" s="1"/>
  <c r="A61" i="41"/>
  <c r="D255" i="2"/>
  <c r="E155" i="2"/>
  <c r="A47" i="48"/>
  <c r="C21" i="48" s="1"/>
  <c r="B45" i="2"/>
  <c r="F47" i="32"/>
  <c r="A56" i="11"/>
  <c r="C56" i="11"/>
  <c r="F30" i="49"/>
  <c r="H29" i="49"/>
  <c r="K29" i="49" s="1"/>
  <c r="H31" i="32"/>
  <c r="K31" i="32" s="1"/>
  <c r="D32" i="32"/>
  <c r="C55" i="11"/>
  <c r="E105" i="20"/>
  <c r="I55" i="11"/>
  <c r="M53" i="11"/>
  <c r="I76" i="11"/>
  <c r="M74" i="11"/>
  <c r="I66" i="11"/>
  <c r="I69" i="11" s="1"/>
  <c r="M64" i="11"/>
  <c r="J116" i="2"/>
  <c r="L116" i="2" s="1"/>
  <c r="J185" i="2"/>
  <c r="L185" i="2" s="1"/>
  <c r="J199" i="2"/>
  <c r="L199" i="2" s="1"/>
  <c r="J118" i="2"/>
  <c r="L118" i="2" s="1"/>
  <c r="J160" i="2"/>
  <c r="L160" i="2" s="1"/>
  <c r="L165" i="2" s="1"/>
  <c r="L167" i="2" s="1"/>
  <c r="L169" i="2" s="1"/>
  <c r="E105" i="13"/>
  <c r="F105" i="13" s="1"/>
  <c r="D106" i="13" s="1"/>
  <c r="L258" i="2" l="1"/>
  <c r="G190" i="2" s="1"/>
  <c r="E35" i="13" s="1"/>
  <c r="B46" i="2"/>
  <c r="B48" i="2" s="1"/>
  <c r="B66" i="2" s="1"/>
  <c r="D303" i="2"/>
  <c r="F48" i="32"/>
  <c r="E48" i="2"/>
  <c r="A64" i="41"/>
  <c r="D63" i="41"/>
  <c r="F31" i="49"/>
  <c r="H30" i="49"/>
  <c r="K30" i="49" s="1"/>
  <c r="D33" i="32"/>
  <c r="H32" i="32"/>
  <c r="C57" i="11"/>
  <c r="A57" i="11"/>
  <c r="L121" i="2"/>
  <c r="L125" i="2" s="1"/>
  <c r="E28" i="13" s="1"/>
  <c r="E30" i="13" s="1"/>
  <c r="E106" i="13"/>
  <c r="G105" i="13"/>
  <c r="M69" i="11"/>
  <c r="I77" i="11"/>
  <c r="I78" i="11" s="1"/>
  <c r="I79" i="11" s="1"/>
  <c r="E77" i="11"/>
  <c r="E78" i="11" s="1"/>
  <c r="E79" i="11" s="1"/>
  <c r="G77" i="11"/>
  <c r="G78" i="11" s="1"/>
  <c r="G79" i="11" s="1"/>
  <c r="I56" i="11"/>
  <c r="I57" i="11" s="1"/>
  <c r="I58" i="11" s="1"/>
  <c r="E56" i="11"/>
  <c r="E57" i="11" s="1"/>
  <c r="G56" i="11"/>
  <c r="G57" i="11" s="1"/>
  <c r="G58" i="11" s="1"/>
  <c r="E37" i="13"/>
  <c r="F37" i="20"/>
  <c r="F105" i="20"/>
  <c r="D106" i="20" s="1"/>
  <c r="G205" i="2" l="1"/>
  <c r="G198" i="2" s="1"/>
  <c r="G203" i="2" s="1"/>
  <c r="G211" i="2"/>
  <c r="F35" i="20"/>
  <c r="L211" i="2"/>
  <c r="A65" i="41"/>
  <c r="A66" i="41" s="1"/>
  <c r="A67" i="41" s="1"/>
  <c r="A68" i="41" s="1"/>
  <c r="A69" i="41" s="1"/>
  <c r="A70" i="41" s="1"/>
  <c r="A71" i="41" s="1"/>
  <c r="A72" i="41" s="1"/>
  <c r="A73" i="41" s="1"/>
  <c r="A74" i="41" s="1"/>
  <c r="B76" i="41"/>
  <c r="A58" i="11"/>
  <c r="C58" i="11"/>
  <c r="K32" i="32"/>
  <c r="H35" i="32"/>
  <c r="F49" i="32"/>
  <c r="H33" i="32"/>
  <c r="K33" i="32" s="1"/>
  <c r="D34" i="32"/>
  <c r="H34" i="32" s="1"/>
  <c r="K34" i="32" s="1"/>
  <c r="B67" i="2"/>
  <c r="B68" i="2" s="1"/>
  <c r="F32" i="49"/>
  <c r="H31" i="49"/>
  <c r="K31" i="49" s="1"/>
  <c r="F28" i="20"/>
  <c r="F30" i="20" s="1"/>
  <c r="G56" i="20" s="1"/>
  <c r="L205" i="2"/>
  <c r="G49" i="20" s="1"/>
  <c r="E34" i="13"/>
  <c r="E36" i="13" s="1"/>
  <c r="E40" i="13" s="1"/>
  <c r="F57" i="13" s="1"/>
  <c r="F56" i="13"/>
  <c r="G70" i="11"/>
  <c r="E70" i="11"/>
  <c r="M79" i="11"/>
  <c r="I80" i="11" s="1"/>
  <c r="I70" i="11"/>
  <c r="E106" i="20"/>
  <c r="F106" i="20" s="1"/>
  <c r="D107" i="20" s="1"/>
  <c r="M57" i="11"/>
  <c r="E58" i="11"/>
  <c r="F106" i="13"/>
  <c r="G213" i="2" l="1"/>
  <c r="F49" i="13"/>
  <c r="L198" i="2"/>
  <c r="L203" i="2" s="1"/>
  <c r="G50" i="20" s="1"/>
  <c r="F50" i="32"/>
  <c r="F33" i="49"/>
  <c r="H32" i="49"/>
  <c r="K32" i="49" s="1"/>
  <c r="E226" i="2"/>
  <c r="C75" i="20"/>
  <c r="C75" i="13"/>
  <c r="B69" i="2"/>
  <c r="B70" i="2" s="1"/>
  <c r="C59" i="11"/>
  <c r="A59" i="11"/>
  <c r="A61" i="11" s="1"/>
  <c r="F34" i="20"/>
  <c r="F36" i="20" s="1"/>
  <c r="F40" i="20" s="1"/>
  <c r="G57" i="20" s="1"/>
  <c r="K35" i="32"/>
  <c r="D38" i="32" s="1"/>
  <c r="A76" i="41"/>
  <c r="B50" i="41"/>
  <c r="E80" i="11"/>
  <c r="E107" i="20"/>
  <c r="F107" i="20" s="1"/>
  <c r="D108" i="20" s="1"/>
  <c r="D107" i="13"/>
  <c r="G106" i="13"/>
  <c r="M58" i="11"/>
  <c r="E59" i="11" s="1"/>
  <c r="G80" i="11"/>
  <c r="H43" i="30" s="1"/>
  <c r="I40" i="30" l="1"/>
  <c r="I43" i="30"/>
  <c r="F50" i="13"/>
  <c r="A77" i="41"/>
  <c r="A78" i="41" s="1"/>
  <c r="A79" i="41" s="1"/>
  <c r="A80" i="41" s="1"/>
  <c r="B80" i="41"/>
  <c r="F34" i="49"/>
  <c r="H33" i="49"/>
  <c r="K33" i="49" s="1"/>
  <c r="H38" i="32"/>
  <c r="K38" i="32" s="1"/>
  <c r="A62" i="11"/>
  <c r="C62" i="11"/>
  <c r="B71" i="2"/>
  <c r="B72" i="2" s="1"/>
  <c r="F51" i="32"/>
  <c r="E108" i="20"/>
  <c r="F108" i="20" s="1"/>
  <c r="D109" i="20" s="1"/>
  <c r="I59" i="11"/>
  <c r="G59" i="11"/>
  <c r="E107" i="13"/>
  <c r="F107" i="13" s="1"/>
  <c r="D108" i="13" s="1"/>
  <c r="H34" i="30" l="1"/>
  <c r="I34" i="30" s="1"/>
  <c r="H33" i="30"/>
  <c r="I33" i="30" s="1"/>
  <c r="I30" i="30"/>
  <c r="I39" i="30"/>
  <c r="D41" i="32"/>
  <c r="I41" i="32"/>
  <c r="F41" i="49"/>
  <c r="F38" i="49"/>
  <c r="H34" i="49"/>
  <c r="A63" i="11"/>
  <c r="A64" i="11" s="1"/>
  <c r="C72" i="11"/>
  <c r="F52" i="32"/>
  <c r="B73" i="2"/>
  <c r="B74" i="2" s="1"/>
  <c r="B51" i="41"/>
  <c r="A85" i="41"/>
  <c r="E109" i="20"/>
  <c r="F109" i="20" s="1"/>
  <c r="D110" i="20" s="1"/>
  <c r="E108" i="13"/>
  <c r="F108" i="13" s="1"/>
  <c r="G107" i="13"/>
  <c r="I29" i="30" l="1"/>
  <c r="I27" i="30" s="1"/>
  <c r="L183" i="2" s="1"/>
  <c r="L186" i="2" s="1"/>
  <c r="L213" i="2" s="1"/>
  <c r="L13" i="2" s="1"/>
  <c r="C64" i="11"/>
  <c r="K34" i="49"/>
  <c r="K35" i="49" s="1"/>
  <c r="D38" i="49" s="1"/>
  <c r="H35" i="49"/>
  <c r="A65" i="11"/>
  <c r="A66" i="11" s="1"/>
  <c r="C66" i="11"/>
  <c r="H38" i="49"/>
  <c r="A86" i="41"/>
  <c r="F42" i="49"/>
  <c r="I42" i="32"/>
  <c r="I43" i="32" s="1"/>
  <c r="I44" i="32" s="1"/>
  <c r="I45" i="32" s="1"/>
  <c r="I46" i="32" s="1"/>
  <c r="I47" i="32" s="1"/>
  <c r="I48" i="32" s="1"/>
  <c r="I49" i="32" s="1"/>
  <c r="I50" i="32" s="1"/>
  <c r="I51" i="32" s="1"/>
  <c r="I52" i="32" s="1"/>
  <c r="I55" i="32"/>
  <c r="I57" i="32" s="1"/>
  <c r="B75" i="2"/>
  <c r="B77" i="2" s="1"/>
  <c r="B78" i="2" s="1"/>
  <c r="E75" i="2"/>
  <c r="K41" i="32"/>
  <c r="D42" i="32" s="1"/>
  <c r="H41" i="32"/>
  <c r="D109" i="13"/>
  <c r="G108" i="13"/>
  <c r="E110" i="20"/>
  <c r="F110" i="20" s="1"/>
  <c r="D111" i="20" s="1"/>
  <c r="G47" i="20" l="1"/>
  <c r="G51" i="20" s="1"/>
  <c r="G55" i="20" s="1"/>
  <c r="G58" i="20" s="1"/>
  <c r="L30" i="2"/>
  <c r="L31" i="2" s="1"/>
  <c r="L34" i="2"/>
  <c r="L20" i="2"/>
  <c r="F47" i="13"/>
  <c r="F51" i="13" s="1"/>
  <c r="F55" i="13" s="1"/>
  <c r="F58" i="13" s="1"/>
  <c r="L37" i="2"/>
  <c r="A87" i="41"/>
  <c r="A88" i="41" s="1"/>
  <c r="A67" i="11"/>
  <c r="C67" i="11"/>
  <c r="K42" i="32"/>
  <c r="D43" i="32" s="1"/>
  <c r="H42" i="32"/>
  <c r="B79" i="2"/>
  <c r="B80" i="2" s="1"/>
  <c r="E90" i="2"/>
  <c r="F43" i="49"/>
  <c r="K38" i="49"/>
  <c r="E111" i="20"/>
  <c r="F111" i="20" s="1"/>
  <c r="E109" i="13"/>
  <c r="F109" i="13" s="1"/>
  <c r="D110" i="13" s="1"/>
  <c r="F70" i="13" l="1"/>
  <c r="J97" i="13" s="1"/>
  <c r="G70" i="20"/>
  <c r="I96" i="20" s="1"/>
  <c r="G111" i="20" s="1"/>
  <c r="F65" i="13"/>
  <c r="F66" i="13" s="1"/>
  <c r="F60" i="13"/>
  <c r="F68" i="13" s="1"/>
  <c r="F69" i="13" s="1"/>
  <c r="G60" i="20"/>
  <c r="G68" i="20" s="1"/>
  <c r="G69" i="20" s="1"/>
  <c r="G65" i="20"/>
  <c r="G66" i="20" s="1"/>
  <c r="D112" i="20"/>
  <c r="E112" i="20" s="1"/>
  <c r="F112" i="20" s="1"/>
  <c r="F44" i="49"/>
  <c r="A68" i="11"/>
  <c r="C68" i="11"/>
  <c r="K43" i="32"/>
  <c r="D44" i="32" s="1"/>
  <c r="H43" i="32"/>
  <c r="D41" i="49"/>
  <c r="I41" i="49"/>
  <c r="A89" i="41"/>
  <c r="B89" i="41"/>
  <c r="B81" i="2"/>
  <c r="B82" i="2" s="1"/>
  <c r="E91" i="2"/>
  <c r="B88" i="41"/>
  <c r="G109" i="13"/>
  <c r="E110" i="13"/>
  <c r="F110" i="13" s="1"/>
  <c r="H109" i="13" l="1"/>
  <c r="F71" i="13"/>
  <c r="G71" i="20"/>
  <c r="G109" i="20"/>
  <c r="G110" i="20"/>
  <c r="G102" i="20"/>
  <c r="G105" i="20"/>
  <c r="G103" i="20"/>
  <c r="G106" i="20"/>
  <c r="G107" i="20"/>
  <c r="I97" i="20"/>
  <c r="H112" i="20" s="1"/>
  <c r="G108" i="20"/>
  <c r="G104" i="20"/>
  <c r="G101" i="20"/>
  <c r="H102" i="13"/>
  <c r="H104" i="13"/>
  <c r="H108" i="13"/>
  <c r="H106" i="13"/>
  <c r="H105" i="13"/>
  <c r="J98" i="13"/>
  <c r="I109" i="13" s="1"/>
  <c r="H107" i="13"/>
  <c r="H103" i="13"/>
  <c r="A69" i="11"/>
  <c r="C69" i="11"/>
  <c r="K44" i="32"/>
  <c r="D45" i="32" s="1"/>
  <c r="H44" i="32"/>
  <c r="A91" i="41"/>
  <c r="F45" i="49"/>
  <c r="I42" i="49"/>
  <c r="I43" i="49" s="1"/>
  <c r="I44" i="49" s="1"/>
  <c r="I45" i="49" s="1"/>
  <c r="I46" i="49" s="1"/>
  <c r="I47" i="49" s="1"/>
  <c r="I48" i="49" s="1"/>
  <c r="I49" i="49" s="1"/>
  <c r="I50" i="49" s="1"/>
  <c r="I51" i="49" s="1"/>
  <c r="I52" i="49" s="1"/>
  <c r="B83" i="2"/>
  <c r="B84" i="2" s="1"/>
  <c r="E92" i="2"/>
  <c r="K41" i="49"/>
  <c r="D42" i="49" s="1"/>
  <c r="H41" i="49"/>
  <c r="D113" i="20"/>
  <c r="G112" i="20"/>
  <c r="D111" i="13"/>
  <c r="G110" i="13"/>
  <c r="J109" i="13" l="1"/>
  <c r="H102" i="20"/>
  <c r="I102" i="20" s="1"/>
  <c r="H101" i="20"/>
  <c r="I101" i="20" s="1"/>
  <c r="H103" i="20"/>
  <c r="I103" i="20" s="1"/>
  <c r="H110" i="20"/>
  <c r="I110" i="20" s="1"/>
  <c r="H105" i="20"/>
  <c r="I105" i="20" s="1"/>
  <c r="H109" i="20"/>
  <c r="I109" i="20" s="1"/>
  <c r="H107" i="20"/>
  <c r="I107" i="20" s="1"/>
  <c r="H108" i="20"/>
  <c r="I108" i="20" s="1"/>
  <c r="H111" i="20"/>
  <c r="I111" i="20" s="1"/>
  <c r="H106" i="20"/>
  <c r="I106" i="20" s="1"/>
  <c r="H104" i="20"/>
  <c r="I104" i="20" s="1"/>
  <c r="I108" i="13"/>
  <c r="J108" i="13" s="1"/>
  <c r="I103" i="13"/>
  <c r="J103" i="13" s="1"/>
  <c r="I102" i="13"/>
  <c r="J102" i="13" s="1"/>
  <c r="I106" i="13"/>
  <c r="J106" i="13" s="1"/>
  <c r="I107" i="13"/>
  <c r="J107" i="13" s="1"/>
  <c r="I105" i="13"/>
  <c r="J105" i="13" s="1"/>
  <c r="I104" i="13"/>
  <c r="J104" i="13" s="1"/>
  <c r="A92" i="41"/>
  <c r="K42" i="49"/>
  <c r="D43" i="49" s="1"/>
  <c r="H42" i="49"/>
  <c r="B85" i="2"/>
  <c r="B86" i="2" s="1"/>
  <c r="E93" i="2"/>
  <c r="K45" i="32"/>
  <c r="D46" i="32" s="1"/>
  <c r="H45" i="32"/>
  <c r="I55" i="49"/>
  <c r="I57" i="49" s="1"/>
  <c r="C70" i="11"/>
  <c r="A70" i="11"/>
  <c r="A72" i="11" s="1"/>
  <c r="A73" i="11" s="1"/>
  <c r="A74" i="11" s="1"/>
  <c r="F46" i="49"/>
  <c r="I112" i="20"/>
  <c r="H110" i="13"/>
  <c r="I110" i="13"/>
  <c r="E111" i="13"/>
  <c r="F111" i="13" s="1"/>
  <c r="E113" i="20"/>
  <c r="F113" i="20" s="1"/>
  <c r="D114" i="20" s="1"/>
  <c r="F47" i="49" l="1"/>
  <c r="B87" i="2"/>
  <c r="B89" i="2" s="1"/>
  <c r="B90" i="2" s="1"/>
  <c r="E94" i="2"/>
  <c r="E87" i="2"/>
  <c r="A75" i="11"/>
  <c r="A76" i="11" s="1"/>
  <c r="C76" i="11"/>
  <c r="K43" i="49"/>
  <c r="D44" i="49" s="1"/>
  <c r="H43" i="49"/>
  <c r="A93" i="41"/>
  <c r="A94" i="41" s="1"/>
  <c r="B94" i="41"/>
  <c r="K46" i="32"/>
  <c r="D47" i="32" s="1"/>
  <c r="H46" i="32"/>
  <c r="D112" i="13"/>
  <c r="G111" i="13"/>
  <c r="H113" i="20"/>
  <c r="G113" i="20"/>
  <c r="J110" i="13"/>
  <c r="E114" i="20"/>
  <c r="F114" i="20" s="1"/>
  <c r="A95" i="41" l="1"/>
  <c r="B95" i="41"/>
  <c r="F48" i="49"/>
  <c r="C77" i="11"/>
  <c r="A77" i="11"/>
  <c r="A78" i="11" s="1"/>
  <c r="C79" i="11" s="1"/>
  <c r="K47" i="32"/>
  <c r="D48" i="32" s="1"/>
  <c r="H47" i="32"/>
  <c r="B91" i="2"/>
  <c r="K44" i="49"/>
  <c r="D45" i="49" s="1"/>
  <c r="H44" i="49"/>
  <c r="D115" i="20"/>
  <c r="H114" i="20"/>
  <c r="G114" i="20"/>
  <c r="I113" i="20"/>
  <c r="H111" i="13"/>
  <c r="I111" i="13"/>
  <c r="E112" i="13"/>
  <c r="F112" i="13" s="1"/>
  <c r="A79" i="11" l="1"/>
  <c r="C78" i="11"/>
  <c r="K45" i="49"/>
  <c r="D46" i="49" s="1"/>
  <c r="H45" i="49"/>
  <c r="C64" i="13"/>
  <c r="C64" i="20"/>
  <c r="B92" i="2"/>
  <c r="B93" i="2" s="1"/>
  <c r="B94" i="2" s="1"/>
  <c r="F49" i="49"/>
  <c r="K48" i="32"/>
  <c r="D49" i="32" s="1"/>
  <c r="H48" i="32"/>
  <c r="A97" i="41"/>
  <c r="D113" i="13"/>
  <c r="G112" i="13"/>
  <c r="I114" i="20"/>
  <c r="J111" i="13"/>
  <c r="E115" i="20"/>
  <c r="F115" i="20" s="1"/>
  <c r="K46" i="49" l="1"/>
  <c r="D47" i="49" s="1"/>
  <c r="H46" i="49"/>
  <c r="B95" i="2"/>
  <c r="E95" i="2"/>
  <c r="A98" i="41"/>
  <c r="C80" i="11"/>
  <c r="A80" i="11"/>
  <c r="K49" i="32"/>
  <c r="D50" i="32" s="1"/>
  <c r="H49" i="32"/>
  <c r="F50" i="49"/>
  <c r="D116" i="20"/>
  <c r="H115" i="20"/>
  <c r="G115" i="20"/>
  <c r="H112" i="13"/>
  <c r="I112" i="13"/>
  <c r="E113" i="13"/>
  <c r="F113" i="13" s="1"/>
  <c r="K47" i="49" l="1"/>
  <c r="D48" i="49" s="1"/>
  <c r="H47" i="49"/>
  <c r="K50" i="32"/>
  <c r="D51" i="32" s="1"/>
  <c r="H50" i="32"/>
  <c r="B98" i="2"/>
  <c r="B99" i="2" s="1"/>
  <c r="C48" i="11"/>
  <c r="A99" i="41"/>
  <c r="A100" i="41" s="1"/>
  <c r="B100" i="41"/>
  <c r="F51" i="49"/>
  <c r="D114" i="13"/>
  <c r="G113" i="13"/>
  <c r="I115" i="20"/>
  <c r="J112" i="13"/>
  <c r="E116" i="20"/>
  <c r="F116" i="20" s="1"/>
  <c r="D117" i="20" s="1"/>
  <c r="A101" i="41" l="1"/>
  <c r="B103" i="41"/>
  <c r="B101" i="41"/>
  <c r="B100" i="2"/>
  <c r="B101" i="2" s="1"/>
  <c r="B102" i="2" s="1"/>
  <c r="B103" i="2" s="1"/>
  <c r="B104" i="2" s="1"/>
  <c r="E104" i="2"/>
  <c r="K51" i="32"/>
  <c r="D52" i="32" s="1"/>
  <c r="H51" i="32"/>
  <c r="F52" i="49"/>
  <c r="K48" i="49"/>
  <c r="D49" i="49" s="1"/>
  <c r="H48" i="49"/>
  <c r="E117" i="20"/>
  <c r="F117" i="20" s="1"/>
  <c r="D118" i="20" s="1"/>
  <c r="H116" i="20"/>
  <c r="H113" i="13"/>
  <c r="I113" i="13"/>
  <c r="G116" i="20"/>
  <c r="E114" i="13"/>
  <c r="F114" i="13" s="1"/>
  <c r="K52" i="32" l="1"/>
  <c r="H52" i="32"/>
  <c r="H53" i="32" s="1"/>
  <c r="B106" i="2"/>
  <c r="B108" i="2" s="1"/>
  <c r="B110" i="2" s="1"/>
  <c r="B112" i="2" s="1"/>
  <c r="B113" i="2" s="1"/>
  <c r="K49" i="49"/>
  <c r="D50" i="49" s="1"/>
  <c r="H49" i="49"/>
  <c r="A103" i="41"/>
  <c r="B104" i="41"/>
  <c r="D115" i="13"/>
  <c r="E115" i="13" s="1"/>
  <c r="F115" i="13" s="1"/>
  <c r="G114" i="13"/>
  <c r="H114" i="13" s="1"/>
  <c r="I116" i="20"/>
  <c r="H117" i="20"/>
  <c r="G117" i="20"/>
  <c r="E118" i="20"/>
  <c r="F118" i="20" s="1"/>
  <c r="D119" i="20" s="1"/>
  <c r="J113" i="13"/>
  <c r="I114" i="13" l="1"/>
  <c r="J114" i="13" s="1"/>
  <c r="E246" i="2"/>
  <c r="A104" i="41"/>
  <c r="K50" i="49"/>
  <c r="D51" i="49" s="1"/>
  <c r="H50" i="49"/>
  <c r="B114" i="2"/>
  <c r="B115" i="2" s="1"/>
  <c r="B116" i="2" s="1"/>
  <c r="B117" i="2" s="1"/>
  <c r="B118" i="2" s="1"/>
  <c r="B119" i="2" s="1"/>
  <c r="B120" i="2" s="1"/>
  <c r="B121" i="2" s="1"/>
  <c r="D116" i="13"/>
  <c r="G115" i="13"/>
  <c r="E119" i="20"/>
  <c r="F119" i="20" s="1"/>
  <c r="H118" i="20"/>
  <c r="I117" i="20"/>
  <c r="G118" i="20"/>
  <c r="D120" i="20" l="1"/>
  <c r="E120" i="20" s="1"/>
  <c r="F120" i="20" s="1"/>
  <c r="G119" i="20"/>
  <c r="H119" i="20"/>
  <c r="E121" i="2"/>
  <c r="B123" i="2"/>
  <c r="D125" i="2"/>
  <c r="K51" i="49"/>
  <c r="D52" i="49" s="1"/>
  <c r="H51" i="49"/>
  <c r="A105" i="41"/>
  <c r="B105" i="41"/>
  <c r="I118" i="20"/>
  <c r="H115" i="13"/>
  <c r="I115" i="13"/>
  <c r="E116" i="13"/>
  <c r="F116" i="13" s="1"/>
  <c r="I119" i="20" l="1"/>
  <c r="D121" i="20"/>
  <c r="E121" i="20" s="1"/>
  <c r="F121" i="20" s="1"/>
  <c r="D122" i="20" s="1"/>
  <c r="H120" i="20"/>
  <c r="J115" i="13"/>
  <c r="K52" i="49"/>
  <c r="H52" i="49"/>
  <c r="H53" i="49" s="1"/>
  <c r="D299" i="2"/>
  <c r="B125" i="2"/>
  <c r="D117" i="13"/>
  <c r="E117" i="13" s="1"/>
  <c r="F117" i="13" s="1"/>
  <c r="D118" i="13" s="1"/>
  <c r="G116" i="13"/>
  <c r="H116" i="13" s="1"/>
  <c r="G120" i="20"/>
  <c r="I120" i="20" l="1"/>
  <c r="C28" i="13"/>
  <c r="C28" i="20"/>
  <c r="B140" i="2"/>
  <c r="I116" i="13"/>
  <c r="J116" i="13" s="1"/>
  <c r="E118" i="13"/>
  <c r="F118" i="13" s="1"/>
  <c r="E122" i="20"/>
  <c r="F122" i="20" s="1"/>
  <c r="G121" i="20"/>
  <c r="G117" i="13"/>
  <c r="H121" i="20"/>
  <c r="E145" i="2" l="1"/>
  <c r="B141" i="2"/>
  <c r="B142" i="2" s="1"/>
  <c r="B143" i="2" s="1"/>
  <c r="B144" i="2" s="1"/>
  <c r="D123" i="20"/>
  <c r="G122" i="20"/>
  <c r="H122" i="20"/>
  <c r="D119" i="13"/>
  <c r="G118" i="13"/>
  <c r="I121" i="20"/>
  <c r="H117" i="13"/>
  <c r="I117" i="13"/>
  <c r="I122" i="20" l="1"/>
  <c r="B145" i="2"/>
  <c r="B146" i="2" s="1"/>
  <c r="J117" i="13"/>
  <c r="E119" i="13"/>
  <c r="F119" i="13" s="1"/>
  <c r="H118" i="13"/>
  <c r="I118" i="13"/>
  <c r="E123" i="20"/>
  <c r="F123" i="20" s="1"/>
  <c r="D294" i="2" l="1"/>
  <c r="B147" i="2"/>
  <c r="E44" i="2"/>
  <c r="J118" i="13"/>
  <c r="D124" i="20"/>
  <c r="H123" i="20"/>
  <c r="G123" i="20"/>
  <c r="D120" i="13"/>
  <c r="G119" i="13"/>
  <c r="B148" i="2" l="1"/>
  <c r="E149" i="2"/>
  <c r="H119" i="13"/>
  <c r="I119" i="13"/>
  <c r="E120" i="13"/>
  <c r="F120" i="13" s="1"/>
  <c r="I123" i="20"/>
  <c r="E124" i="20"/>
  <c r="F124" i="20" s="1"/>
  <c r="B149" i="2" l="1"/>
  <c r="D296" i="2"/>
  <c r="D121" i="13"/>
  <c r="G120" i="13"/>
  <c r="D125" i="20"/>
  <c r="G124" i="20"/>
  <c r="H124" i="20"/>
  <c r="J119" i="13"/>
  <c r="E113" i="2" l="1"/>
  <c r="B151" i="2"/>
  <c r="D293" i="2"/>
  <c r="I124" i="20"/>
  <c r="E125" i="20"/>
  <c r="F125" i="20" s="1"/>
  <c r="D126" i="20" s="1"/>
  <c r="H120" i="13"/>
  <c r="I120" i="13"/>
  <c r="E121" i="13"/>
  <c r="F121" i="13" s="1"/>
  <c r="B152" i="2" l="1"/>
  <c r="J120" i="13"/>
  <c r="D122" i="13"/>
  <c r="G121" i="13"/>
  <c r="H125" i="20"/>
  <c r="G125" i="20"/>
  <c r="E126" i="20"/>
  <c r="F126" i="20" s="1"/>
  <c r="D127" i="20" l="1"/>
  <c r="E127" i="20" s="1"/>
  <c r="F127" i="20" s="1"/>
  <c r="D128" i="20" s="1"/>
  <c r="H126" i="20"/>
  <c r="E160" i="2"/>
  <c r="B153" i="2"/>
  <c r="B154" i="2" s="1"/>
  <c r="B155" i="2" s="1"/>
  <c r="B156" i="2" s="1"/>
  <c r="B157" i="2" s="1"/>
  <c r="B158" i="2" s="1"/>
  <c r="G126" i="20"/>
  <c r="I125" i="20"/>
  <c r="H121" i="13"/>
  <c r="I121" i="13"/>
  <c r="E122" i="13"/>
  <c r="F122" i="13" s="1"/>
  <c r="D123" i="13" s="1"/>
  <c r="I126" i="20" l="1"/>
  <c r="B159" i="2"/>
  <c r="E159" i="2"/>
  <c r="J121" i="13"/>
  <c r="E123" i="13"/>
  <c r="F123" i="13" s="1"/>
  <c r="E128" i="20"/>
  <c r="F128" i="20" s="1"/>
  <c r="G127" i="20"/>
  <c r="G122" i="13"/>
  <c r="H127" i="20"/>
  <c r="D129" i="20" l="1"/>
  <c r="E129" i="20" s="1"/>
  <c r="F129" i="20" s="1"/>
  <c r="H128" i="20"/>
  <c r="G128" i="20"/>
  <c r="B160" i="2"/>
  <c r="B161" i="2" s="1"/>
  <c r="B162" i="2" s="1"/>
  <c r="B163" i="2" s="1"/>
  <c r="B164" i="2" s="1"/>
  <c r="B165" i="2" s="1"/>
  <c r="D124" i="13"/>
  <c r="G123" i="13"/>
  <c r="I127" i="20"/>
  <c r="H122" i="13"/>
  <c r="I122" i="13"/>
  <c r="E165" i="2" l="1"/>
  <c r="B167" i="2"/>
  <c r="D297" i="2"/>
  <c r="E167" i="2"/>
  <c r="I128" i="20"/>
  <c r="D130" i="20"/>
  <c r="H129" i="20"/>
  <c r="G129" i="20"/>
  <c r="H123" i="13"/>
  <c r="I123" i="13"/>
  <c r="J122" i="13"/>
  <c r="E124" i="13"/>
  <c r="F124" i="13" s="1"/>
  <c r="D125" i="13" s="1"/>
  <c r="B168" i="2" l="1"/>
  <c r="E169" i="2"/>
  <c r="J123" i="13"/>
  <c r="E125" i="13"/>
  <c r="F125" i="13" s="1"/>
  <c r="I129" i="20"/>
  <c r="G124" i="13"/>
  <c r="E130" i="20"/>
  <c r="F130" i="20" s="1"/>
  <c r="C48" i="13" l="1"/>
  <c r="C48" i="20"/>
  <c r="B169" i="2"/>
  <c r="D312" i="2"/>
  <c r="E30" i="2"/>
  <c r="D310" i="2"/>
  <c r="D307" i="2"/>
  <c r="D131" i="20"/>
  <c r="H130" i="20"/>
  <c r="G130" i="20"/>
  <c r="D126" i="13"/>
  <c r="G125" i="13"/>
  <c r="H124" i="13"/>
  <c r="I124" i="13"/>
  <c r="J124" i="13" l="1"/>
  <c r="B171" i="2"/>
  <c r="B172" i="2" s="1"/>
  <c r="I130" i="20"/>
  <c r="H125" i="13"/>
  <c r="I125" i="13"/>
  <c r="E126" i="13"/>
  <c r="F126" i="13" s="1"/>
  <c r="E131" i="20"/>
  <c r="F131" i="20" s="1"/>
  <c r="B173" i="2" l="1"/>
  <c r="B174" i="2" s="1"/>
  <c r="J125" i="13"/>
  <c r="D132" i="20"/>
  <c r="H131" i="20"/>
  <c r="G131" i="20"/>
  <c r="D127" i="13"/>
  <c r="G126" i="13"/>
  <c r="C59" i="13" l="1"/>
  <c r="C59" i="20"/>
  <c r="B175" i="2"/>
  <c r="C76" i="20"/>
  <c r="C76" i="13"/>
  <c r="E34" i="2"/>
  <c r="H126" i="13"/>
  <c r="I126" i="13"/>
  <c r="E127" i="13"/>
  <c r="F127" i="13" s="1"/>
  <c r="I131" i="20"/>
  <c r="E132" i="20"/>
  <c r="F132" i="20" s="1"/>
  <c r="D133" i="20" s="1"/>
  <c r="B176" i="2" l="1"/>
  <c r="B177" i="2" s="1"/>
  <c r="J126" i="13"/>
  <c r="D128" i="13"/>
  <c r="G127" i="13"/>
  <c r="E133" i="20"/>
  <c r="F133" i="20" s="1"/>
  <c r="H132" i="20"/>
  <c r="G132" i="20"/>
  <c r="E177" i="2" l="1"/>
  <c r="B179" i="2"/>
  <c r="B180" i="2" s="1"/>
  <c r="B181" i="2" s="1"/>
  <c r="D134" i="20"/>
  <c r="H133" i="20"/>
  <c r="G133" i="20"/>
  <c r="I132" i="20"/>
  <c r="H127" i="13"/>
  <c r="I127" i="13"/>
  <c r="E128" i="13"/>
  <c r="F128" i="13" s="1"/>
  <c r="J127" i="13" l="1"/>
  <c r="B182" i="2"/>
  <c r="B183" i="2" s="1"/>
  <c r="B184" i="2" s="1"/>
  <c r="B185" i="2" s="1"/>
  <c r="B186" i="2" s="1"/>
  <c r="D129" i="13"/>
  <c r="G128" i="13"/>
  <c r="I133" i="20"/>
  <c r="E134" i="20"/>
  <c r="F134" i="20" s="1"/>
  <c r="D135" i="20" l="1"/>
  <c r="E135" i="20" s="1"/>
  <c r="F135" i="20" s="1"/>
  <c r="G134" i="20"/>
  <c r="H134" i="20"/>
  <c r="B188" i="2"/>
  <c r="B189" i="2" s="1"/>
  <c r="E186" i="2"/>
  <c r="H128" i="13"/>
  <c r="I128" i="13"/>
  <c r="E129" i="13"/>
  <c r="F129" i="13" s="1"/>
  <c r="I134" i="20" l="1"/>
  <c r="B190" i="2"/>
  <c r="D193" i="2"/>
  <c r="J128" i="13"/>
  <c r="D136" i="20"/>
  <c r="E136" i="20" s="1"/>
  <c r="F136" i="20" s="1"/>
  <c r="G135" i="20"/>
  <c r="H135" i="20"/>
  <c r="D130" i="13"/>
  <c r="G129" i="13"/>
  <c r="I135" i="20" l="1"/>
  <c r="B191" i="2"/>
  <c r="B192" i="2" s="1"/>
  <c r="B193" i="2" s="1"/>
  <c r="C35" i="20"/>
  <c r="C35" i="13"/>
  <c r="D137" i="20"/>
  <c r="G136" i="20"/>
  <c r="H136" i="20"/>
  <c r="H129" i="13"/>
  <c r="I129" i="13"/>
  <c r="E130" i="13"/>
  <c r="F130" i="13" s="1"/>
  <c r="D131" i="13" s="1"/>
  <c r="I136" i="20" l="1"/>
  <c r="J129" i="13"/>
  <c r="B194" i="2"/>
  <c r="G130" i="13"/>
  <c r="H130" i="13" s="1"/>
  <c r="E131" i="13"/>
  <c r="F131" i="13" s="1"/>
  <c r="E137" i="20"/>
  <c r="F137" i="20" s="1"/>
  <c r="D138" i="20" s="1"/>
  <c r="I130" i="13" l="1"/>
  <c r="J130" i="13" s="1"/>
  <c r="D338" i="2"/>
  <c r="B195" i="2"/>
  <c r="E199" i="2"/>
  <c r="D132" i="13"/>
  <c r="G131" i="13"/>
  <c r="E138" i="20"/>
  <c r="F138" i="20" s="1"/>
  <c r="G137" i="20"/>
  <c r="H137" i="20"/>
  <c r="D139" i="20" l="1"/>
  <c r="E139" i="20" s="1"/>
  <c r="F139" i="20" s="1"/>
  <c r="H138" i="20"/>
  <c r="B196" i="2"/>
  <c r="E200" i="2"/>
  <c r="I137" i="20"/>
  <c r="G138" i="20"/>
  <c r="H131" i="13"/>
  <c r="I131" i="13"/>
  <c r="E132" i="13"/>
  <c r="F132" i="13" s="1"/>
  <c r="D133" i="13" s="1"/>
  <c r="G132" i="13" l="1"/>
  <c r="I132" i="13" s="1"/>
  <c r="I138" i="20"/>
  <c r="D140" i="20"/>
  <c r="E140" i="20" s="1"/>
  <c r="F140" i="20" s="1"/>
  <c r="D141" i="20" s="1"/>
  <c r="G139" i="20"/>
  <c r="H139" i="20"/>
  <c r="B198" i="2"/>
  <c r="E201" i="2"/>
  <c r="J131" i="13"/>
  <c r="H132" i="13"/>
  <c r="E133" i="13"/>
  <c r="F133" i="13" s="1"/>
  <c r="D134" i="13" s="1"/>
  <c r="H140" i="20" l="1"/>
  <c r="I139" i="20"/>
  <c r="B199" i="2"/>
  <c r="B200" i="2" s="1"/>
  <c r="B201" i="2" s="1"/>
  <c r="B203" i="2" s="1"/>
  <c r="J132" i="13"/>
  <c r="G140" i="20"/>
  <c r="E134" i="13"/>
  <c r="F134" i="13" s="1"/>
  <c r="G133" i="13"/>
  <c r="E141" i="20"/>
  <c r="F141" i="20" s="1"/>
  <c r="I140" i="20" l="1"/>
  <c r="C50" i="20"/>
  <c r="C50" i="13"/>
  <c r="B205" i="2"/>
  <c r="E37" i="2"/>
  <c r="E203" i="2"/>
  <c r="D142" i="20"/>
  <c r="G141" i="20"/>
  <c r="H141" i="20"/>
  <c r="D135" i="13"/>
  <c r="G134" i="13"/>
  <c r="H133" i="13"/>
  <c r="I133" i="13"/>
  <c r="B207" i="2" l="1"/>
  <c r="C49" i="13"/>
  <c r="C49" i="20"/>
  <c r="E198" i="2"/>
  <c r="I141" i="20"/>
  <c r="J133" i="13"/>
  <c r="E135" i="13"/>
  <c r="F135" i="13" s="1"/>
  <c r="H134" i="13"/>
  <c r="I134" i="13"/>
  <c r="E142" i="20"/>
  <c r="F142" i="20" s="1"/>
  <c r="D301" i="2" l="1"/>
  <c r="B209" i="2"/>
  <c r="J134" i="13"/>
  <c r="D143" i="20"/>
  <c r="H142" i="20"/>
  <c r="I142" i="20" s="1"/>
  <c r="D136" i="13"/>
  <c r="E136" i="13" s="1"/>
  <c r="F136" i="13" s="1"/>
  <c r="G135" i="13"/>
  <c r="I135" i="13" s="1"/>
  <c r="E143" i="20"/>
  <c r="F143" i="20" l="1"/>
  <c r="D144" i="20" s="1"/>
  <c r="E144" i="20" s="1"/>
  <c r="F144" i="20" s="1"/>
  <c r="H135" i="13"/>
  <c r="J135" i="13" s="1"/>
  <c r="B211" i="2"/>
  <c r="D211" i="2"/>
  <c r="D137" i="13"/>
  <c r="G136" i="13"/>
  <c r="G143" i="20" l="1"/>
  <c r="H143" i="20"/>
  <c r="B213" i="2"/>
  <c r="D214" i="2"/>
  <c r="D145" i="20"/>
  <c r="H144" i="20"/>
  <c r="G144" i="20"/>
  <c r="H136" i="13"/>
  <c r="I136" i="13"/>
  <c r="E137" i="13"/>
  <c r="F137" i="13" s="1"/>
  <c r="I143" i="20" l="1"/>
  <c r="J136" i="13"/>
  <c r="B226" i="2"/>
  <c r="E13" i="2"/>
  <c r="I144" i="20"/>
  <c r="D138" i="13"/>
  <c r="G137" i="13"/>
  <c r="E145" i="20"/>
  <c r="F145" i="20" s="1"/>
  <c r="B227" i="2" l="1"/>
  <c r="B228" i="2" s="1"/>
  <c r="B229" i="2" s="1"/>
  <c r="E229" i="2"/>
  <c r="D146" i="20"/>
  <c r="E146" i="20" s="1"/>
  <c r="G145" i="20"/>
  <c r="H145" i="20"/>
  <c r="H137" i="13"/>
  <c r="I137" i="13"/>
  <c r="E138" i="13"/>
  <c r="F138" i="13" s="1"/>
  <c r="B231" i="2" l="1"/>
  <c r="B233" i="2" s="1"/>
  <c r="B234" i="2" s="1"/>
  <c r="E231" i="2"/>
  <c r="E68" i="2"/>
  <c r="I145" i="20"/>
  <c r="D139" i="13"/>
  <c r="E139" i="13" s="1"/>
  <c r="F139" i="13" s="1"/>
  <c r="G138" i="13"/>
  <c r="H138" i="13" s="1"/>
  <c r="F146" i="20"/>
  <c r="J137" i="13"/>
  <c r="I138" i="13" l="1"/>
  <c r="J138" i="13" s="1"/>
  <c r="B235" i="2"/>
  <c r="B236" i="2" s="1"/>
  <c r="B237" i="2" s="1"/>
  <c r="B238" i="2" s="1"/>
  <c r="B239" i="2" s="1"/>
  <c r="B241" i="2" s="1"/>
  <c r="B244" i="2" s="1"/>
  <c r="B245" i="2" s="1"/>
  <c r="E239" i="2"/>
  <c r="D147" i="20"/>
  <c r="E147" i="20" s="1"/>
  <c r="F147" i="20" s="1"/>
  <c r="D148" i="20" s="1"/>
  <c r="G146" i="20"/>
  <c r="H146" i="20"/>
  <c r="D140" i="13"/>
  <c r="G139" i="13"/>
  <c r="I146" i="20" l="1"/>
  <c r="G147" i="20"/>
  <c r="H147" i="20"/>
  <c r="B246" i="2"/>
  <c r="B247" i="2" s="1"/>
  <c r="B248" i="2" s="1"/>
  <c r="E148" i="20"/>
  <c r="F148" i="20" s="1"/>
  <c r="H139" i="13"/>
  <c r="I139" i="13"/>
  <c r="E140" i="13"/>
  <c r="F140" i="13" s="1"/>
  <c r="J139" i="13" l="1"/>
  <c r="I147" i="20"/>
  <c r="D149" i="20"/>
  <c r="E149" i="20" s="1"/>
  <c r="F149" i="20" s="1"/>
  <c r="H148" i="20"/>
  <c r="G148" i="20"/>
  <c r="B249" i="2"/>
  <c r="D141" i="13"/>
  <c r="G140" i="13"/>
  <c r="I148" i="20" l="1"/>
  <c r="B250" i="2"/>
  <c r="B251" i="2" s="1"/>
  <c r="B252" i="2" s="1"/>
  <c r="D256" i="2"/>
  <c r="D150" i="20"/>
  <c r="H149" i="20"/>
  <c r="G149" i="20"/>
  <c r="H140" i="13"/>
  <c r="I140" i="13"/>
  <c r="E141" i="13"/>
  <c r="F141" i="13" s="1"/>
  <c r="E252" i="2" l="1"/>
  <c r="D257" i="2"/>
  <c r="B254" i="2"/>
  <c r="B255" i="2" s="1"/>
  <c r="J140" i="13"/>
  <c r="D142" i="13"/>
  <c r="G141" i="13"/>
  <c r="I149" i="20"/>
  <c r="E150" i="20"/>
  <c r="F150" i="20" s="1"/>
  <c r="D359" i="2" l="1"/>
  <c r="B256" i="2"/>
  <c r="B257" i="2" s="1"/>
  <c r="C19" i="13"/>
  <c r="C19" i="20"/>
  <c r="D258" i="2"/>
  <c r="D350" i="2"/>
  <c r="D151" i="20"/>
  <c r="H150" i="20"/>
  <c r="G150" i="20"/>
  <c r="H141" i="13"/>
  <c r="I141" i="13"/>
  <c r="E142" i="13"/>
  <c r="C16" i="13" l="1"/>
  <c r="C16" i="20"/>
  <c r="B258" i="2"/>
  <c r="J141" i="13"/>
  <c r="H142" i="13"/>
  <c r="I142" i="13"/>
  <c r="F142" i="13"/>
  <c r="D143" i="13" s="1"/>
  <c r="I150" i="20"/>
  <c r="E151" i="20"/>
  <c r="F151" i="20" s="1"/>
  <c r="J142" i="13" l="1"/>
  <c r="B260" i="2"/>
  <c r="B77" i="41"/>
  <c r="E205" i="2"/>
  <c r="D191" i="2"/>
  <c r="D152" i="20"/>
  <c r="G151" i="20"/>
  <c r="H151" i="20"/>
  <c r="E143" i="13"/>
  <c r="F143" i="13" s="1"/>
  <c r="I151" i="20" l="1"/>
  <c r="D144" i="13"/>
  <c r="G143" i="13"/>
  <c r="E152" i="20"/>
  <c r="F152" i="20" s="1"/>
  <c r="D153" i="20" l="1"/>
  <c r="H152" i="20"/>
  <c r="G152" i="20"/>
  <c r="H143" i="13"/>
  <c r="I143" i="13"/>
  <c r="E144" i="13"/>
  <c r="F144" i="13" s="1"/>
  <c r="J143" i="13" l="1"/>
  <c r="D145" i="13"/>
  <c r="G144" i="13"/>
  <c r="I152" i="20"/>
  <c r="E153" i="20"/>
  <c r="F153" i="20" s="1"/>
  <c r="D154" i="20" l="1"/>
  <c r="G153" i="20"/>
  <c r="H153" i="20"/>
  <c r="H144" i="13"/>
  <c r="I144" i="13"/>
  <c r="E145" i="13"/>
  <c r="F145" i="13" s="1"/>
  <c r="D146" i="13" s="1"/>
  <c r="I153" i="20" l="1"/>
  <c r="J144" i="13"/>
  <c r="E146" i="13"/>
  <c r="F146" i="13" s="1"/>
  <c r="D147" i="13" s="1"/>
  <c r="G145" i="13"/>
  <c r="E154" i="20"/>
  <c r="F154" i="20" s="1"/>
  <c r="G146" i="13" l="1"/>
  <c r="I146" i="13" s="1"/>
  <c r="D155" i="20"/>
  <c r="G154" i="20"/>
  <c r="H154" i="20"/>
  <c r="E147" i="13"/>
  <c r="F147" i="13" s="1"/>
  <c r="H145" i="13"/>
  <c r="I145" i="13"/>
  <c r="I154" i="20" l="1"/>
  <c r="H146" i="13"/>
  <c r="J146" i="13" s="1"/>
  <c r="D148" i="13"/>
  <c r="G147" i="13"/>
  <c r="J145" i="13"/>
  <c r="E155" i="20"/>
  <c r="F155" i="20" s="1"/>
  <c r="D156" i="20" l="1"/>
  <c r="G155" i="20"/>
  <c r="H155" i="20"/>
  <c r="H147" i="13"/>
  <c r="I147" i="13"/>
  <c r="E148" i="13"/>
  <c r="F148" i="13" s="1"/>
  <c r="D149" i="13" s="1"/>
  <c r="I155" i="20" l="1"/>
  <c r="J147" i="13"/>
  <c r="E149" i="13"/>
  <c r="F149" i="13" s="1"/>
  <c r="D150" i="13" s="1"/>
  <c r="G148" i="13"/>
  <c r="E156" i="20"/>
  <c r="F156" i="20" s="1"/>
  <c r="D157" i="20" l="1"/>
  <c r="H156" i="20"/>
  <c r="G156" i="20"/>
  <c r="H148" i="13"/>
  <c r="I148" i="13"/>
  <c r="E150" i="13"/>
  <c r="F150" i="13" s="1"/>
  <c r="G149" i="13"/>
  <c r="J148" i="13" l="1"/>
  <c r="D151" i="13"/>
  <c r="G150" i="13"/>
  <c r="I156" i="20"/>
  <c r="H149" i="13"/>
  <c r="I149" i="13"/>
  <c r="E157" i="20"/>
  <c r="F157" i="20" s="1"/>
  <c r="D158" i="20" s="1"/>
  <c r="J149" i="13" l="1"/>
  <c r="G157" i="20"/>
  <c r="E158" i="20"/>
  <c r="F158" i="20" s="1"/>
  <c r="H150" i="13"/>
  <c r="I150" i="13"/>
  <c r="H157" i="20"/>
  <c r="E151" i="13"/>
  <c r="F151" i="13" s="1"/>
  <c r="I157" i="20" l="1"/>
  <c r="J150" i="13"/>
  <c r="D159" i="20"/>
  <c r="E159" i="20" s="1"/>
  <c r="F159" i="20" s="1"/>
  <c r="H158" i="20"/>
  <c r="D152" i="13"/>
  <c r="G151" i="13"/>
  <c r="I151" i="13" s="1"/>
  <c r="H151" i="13"/>
  <c r="G158" i="20"/>
  <c r="E152" i="13"/>
  <c r="F152" i="13" s="1"/>
  <c r="I158" i="20" l="1"/>
  <c r="J151" i="13"/>
  <c r="D153" i="13"/>
  <c r="G152" i="13"/>
  <c r="D160" i="20"/>
  <c r="H159" i="20"/>
  <c r="G159" i="20"/>
  <c r="I159" i="20" l="1"/>
  <c r="H152" i="13"/>
  <c r="I152" i="13"/>
  <c r="E160" i="20"/>
  <c r="E161" i="20" s="1"/>
  <c r="E153" i="13"/>
  <c r="F153" i="13" s="1"/>
  <c r="D154" i="13" s="1"/>
  <c r="J152" i="13" l="1"/>
  <c r="E154" i="13"/>
  <c r="F154" i="13" s="1"/>
  <c r="F160" i="20"/>
  <c r="G153" i="13"/>
  <c r="D155" i="13" l="1"/>
  <c r="G154" i="13"/>
  <c r="H153" i="13"/>
  <c r="I153" i="13"/>
  <c r="G160" i="20"/>
  <c r="G161" i="20" s="1"/>
  <c r="H160" i="20"/>
  <c r="J153" i="13" l="1"/>
  <c r="I160" i="20"/>
  <c r="I161" i="20" s="1"/>
  <c r="H161" i="20"/>
  <c r="H154" i="13"/>
  <c r="I154" i="13"/>
  <c r="E155" i="13"/>
  <c r="F155" i="13" s="1"/>
  <c r="D156" i="13" l="1"/>
  <c r="G155" i="13"/>
  <c r="J154" i="13"/>
  <c r="H155" i="13" l="1"/>
  <c r="I155" i="13"/>
  <c r="E156" i="13"/>
  <c r="F156" i="13" s="1"/>
  <c r="J155" i="13" l="1"/>
  <c r="D157" i="13"/>
  <c r="G156" i="13"/>
  <c r="H156" i="13" l="1"/>
  <c r="I156" i="13"/>
  <c r="E157" i="13"/>
  <c r="F157" i="13" s="1"/>
  <c r="D158" i="13" s="1"/>
  <c r="J156" i="13" l="1"/>
  <c r="G157" i="13"/>
  <c r="H157" i="13" s="1"/>
  <c r="E158" i="13"/>
  <c r="F158" i="13" s="1"/>
  <c r="I157" i="13" l="1"/>
  <c r="J157" i="13" s="1"/>
  <c r="D159" i="13"/>
  <c r="G158" i="13"/>
  <c r="H158" i="13" l="1"/>
  <c r="I158" i="13"/>
  <c r="E159" i="13"/>
  <c r="F159" i="13" s="1"/>
  <c r="J158" i="13" l="1"/>
  <c r="D160" i="13"/>
  <c r="G159" i="13"/>
  <c r="H159" i="13" l="1"/>
  <c r="I159" i="13"/>
  <c r="E160" i="13"/>
  <c r="F160" i="13" s="1"/>
  <c r="J159" i="13" l="1"/>
  <c r="D161" i="13"/>
  <c r="G160" i="13"/>
  <c r="H160" i="13" l="1"/>
  <c r="I160" i="13"/>
  <c r="E161" i="13"/>
  <c r="E162" i="13" s="1"/>
  <c r="J160" i="13" l="1"/>
  <c r="F161" i="13"/>
  <c r="G161" i="13" s="1"/>
  <c r="H161" i="13" l="1"/>
  <c r="I161" i="13"/>
  <c r="N91" i="13" s="1"/>
  <c r="O22" i="13" s="1"/>
  <c r="N92" i="13" l="1"/>
  <c r="H162" i="13"/>
  <c r="M91" i="13"/>
  <c r="N22" i="13" s="1"/>
  <c r="J161" i="13"/>
  <c r="J162" i="13" s="1"/>
  <c r="I162" i="13"/>
  <c r="O23" i="13" l="1"/>
  <c r="M92" i="13"/>
  <c r="N23" i="13"/>
  <c r="O91" i="13"/>
  <c r="O92" i="13" s="1"/>
  <c r="P22" i="13" l="1"/>
  <c r="P23" i="13" s="1"/>
  <c r="L39" i="2" s="1"/>
  <c r="G24" i="48" l="1"/>
  <c r="G28" i="48" s="1"/>
  <c r="H24" i="48"/>
  <c r="I24" i="48" l="1"/>
  <c r="I28" i="48" s="1"/>
  <c r="H28" i="48"/>
</calcChain>
</file>

<file path=xl/sharedStrings.xml><?xml version="1.0" encoding="utf-8"?>
<sst xmlns="http://schemas.openxmlformats.org/spreadsheetml/2006/main" count="2326" uniqueCount="1321">
  <si>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</si>
  <si>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</si>
  <si>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</si>
  <si>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</si>
  <si>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</si>
  <si>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</si>
  <si>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</si>
  <si>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</si>
  <si>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</si>
  <si>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</si>
  <si>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</si>
  <si>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</si>
  <si>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</si>
  <si>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</si>
  <si>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</si>
  <si>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</si>
  <si>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</si>
  <si>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</si>
  <si>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</si>
  <si>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</si>
  <si>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</si>
  <si>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</si>
  <si>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</si>
  <si>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</si>
  <si>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</si>
  <si>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</si>
  <si>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</si>
  <si>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</si>
  <si>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</si>
  <si>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</si>
  <si>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</si>
  <si>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</si>
  <si>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</si>
  <si>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</si>
  <si>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</si>
  <si>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</si>
  <si>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</si>
  <si>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</si>
  <si>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</si>
  <si>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</si>
  <si>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</si>
  <si>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</si>
  <si>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</si>
  <si>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</si>
  <si>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</si>
  <si>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</si>
  <si>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</si>
  <si>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</si>
  <si>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</si>
  <si>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</si>
  <si>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</si>
  <si>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</si>
  <si>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</si>
  <si>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</si>
  <si>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</si>
  <si>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</si>
  <si>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</si>
  <si>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</si>
  <si>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</si>
  <si>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</si>
  <si>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</si>
  <si>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</si>
  <si>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</si>
  <si>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</si>
  <si>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</si>
  <si>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</si>
  <si>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</si>
  <si>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</si>
  <si>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</si>
  <si>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</si>
  <si>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</si>
  <si>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</si>
  <si>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</si>
  <si>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</si>
  <si>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</si>
  <si>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</si>
  <si>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</si>
  <si>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</si>
  <si>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</si>
  <si>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</si>
  <si>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</si>
  <si>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</si>
  <si>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</si>
  <si>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</si>
  <si>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</si>
  <si>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</si>
  <si>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</si>
  <si>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</si>
  <si>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</si>
  <si>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</si>
  <si>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</si>
  <si>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</si>
  <si>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</si>
  <si>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</si>
  <si>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</si>
  <si>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</si>
  <si>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</si>
  <si>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</si>
  <si>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</si>
  <si>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</si>
  <si>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</si>
  <si>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</si>
  <si>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</si>
  <si>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</si>
  <si>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</si>
  <si>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</si>
  <si>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</si>
  <si>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</si>
  <si>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</si>
  <si>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</si>
  <si>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</si>
  <si>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</si>
  <si>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</si>
  <si>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</si>
  <si>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</si>
  <si>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</si>
  <si>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</si>
  <si>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</si>
  <si>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</si>
  <si>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</si>
  <si>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</si>
  <si>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</si>
  <si>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</si>
  <si>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</si>
  <si>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</si>
  <si>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</si>
  <si>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</si>
  <si>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</si>
  <si>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</si>
  <si>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</si>
  <si>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</si>
  <si>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</si>
  <si>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</si>
  <si>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</si>
  <si>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</si>
  <si>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</si>
  <si>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</si>
  <si>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</si>
  <si>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</si>
  <si>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</si>
  <si>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</si>
  <si>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</si>
  <si>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</si>
  <si>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</si>
  <si>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</si>
  <si>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</si>
  <si>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</si>
  <si>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</si>
  <si>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</si>
  <si>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</si>
  <si>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</si>
  <si>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</si>
  <si>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</si>
  <si>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</si>
  <si>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</si>
  <si>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</si>
  <si>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</si>
  <si>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</si>
  <si>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</si>
  <si>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</si>
  <si>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</si>
  <si>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</si>
  <si>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</si>
  <si>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</si>
  <si>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</si>
  <si>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</si>
  <si>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</si>
  <si>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</si>
  <si>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</si>
  <si>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</si>
  <si>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</si>
  <si>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</si>
  <si>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</si>
  <si>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</si>
  <si>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</si>
  <si>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</si>
  <si>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</si>
  <si>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</si>
  <si>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</si>
  <si>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</si>
  <si>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</si>
  <si>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</si>
  <si>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</si>
  <si>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</si>
  <si>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</si>
  <si>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</si>
  <si>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</si>
  <si>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</si>
  <si>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</si>
  <si>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</si>
  <si>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</si>
  <si>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</si>
  <si>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</si>
  <si>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</si>
  <si>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</si>
  <si>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</si>
  <si>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</si>
  <si>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</si>
  <si>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</si>
  <si>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</si>
  <si>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</si>
  <si>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</si>
  <si>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</si>
  <si>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</si>
  <si>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</si>
  <si>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</si>
  <si>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</si>
  <si>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</si>
  <si>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</si>
  <si>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</si>
  <si>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</si>
  <si>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</si>
  <si>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</si>
  <si>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</si>
  <si>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</si>
  <si>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</si>
  <si>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</si>
  <si>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</si>
  <si>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</si>
  <si>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</si>
  <si>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</si>
  <si>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</si>
  <si>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</si>
  <si>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</si>
  <si>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</si>
  <si>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</si>
  <si>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</si>
  <si>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</si>
  <si>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</si>
  <si>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</si>
  <si>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</si>
  <si>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</si>
  <si>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</si>
  <si>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</si>
  <si>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</si>
  <si>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</si>
  <si>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</si>
  <si>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</si>
  <si>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</si>
  <si>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</si>
  <si>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</si>
  <si>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</si>
  <si>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</si>
  <si>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</si>
  <si>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</si>
  <si>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</si>
  <si>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</si>
  <si>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</si>
  <si>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</si>
  <si>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</si>
  <si>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</si>
  <si>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</si>
  <si>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</si>
  <si>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</si>
  <si>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</si>
  <si>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</si>
  <si>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</si>
  <si>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</si>
  <si>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</si>
  <si>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</si>
  <si>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</si>
  <si>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</si>
  <si>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</si>
  <si>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</si>
  <si>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</si>
  <si>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</si>
  <si>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</si>
  <si>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</si>
  <si>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</si>
  <si>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</si>
  <si>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</si>
  <si>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</si>
  <si>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</si>
  <si>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</si>
  <si>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</si>
  <si>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</si>
  <si>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</si>
  <si>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</si>
  <si>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</si>
  <si>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</si>
  <si>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</si>
  <si>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</si>
  <si>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</si>
  <si>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</si>
  <si>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</si>
  <si>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</si>
  <si>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</si>
  <si>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</si>
  <si>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</si>
  <si>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</si>
  <si>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</si>
  <si>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</si>
  <si>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</si>
  <si>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</si>
  <si>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</si>
  <si>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</si>
  <si>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</si>
  <si>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</si>
  <si>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</si>
  <si>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</si>
  <si>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</si>
  <si>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</si>
  <si>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</si>
  <si>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</si>
  <si>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</si>
  <si>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</si>
  <si>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</si>
  <si>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</si>
  <si>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</si>
  <si>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</si>
  <si>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</si>
  <si>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</si>
  <si>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</si>
  <si>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</si>
  <si>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</si>
  <si>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</si>
  <si>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</si>
  <si>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</si>
  <si>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</si>
  <si>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</si>
  <si>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</si>
  <si>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</si>
  <si>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</si>
  <si>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</si>
  <si>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</si>
  <si>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</si>
  <si>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</si>
  <si>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</si>
  <si>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</si>
  <si>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</si>
  <si>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</si>
  <si>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</si>
  <si>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</si>
  <si>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</si>
  <si>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</si>
  <si>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</si>
  <si>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</si>
  <si>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</si>
  <si>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</si>
  <si>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</si>
  <si>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</si>
  <si>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</si>
  <si>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</si>
  <si>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</si>
  <si>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</si>
  <si>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</si>
  <si>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</si>
  <si>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</si>
  <si>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</si>
  <si>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</si>
  <si>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</si>
  <si>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</si>
  <si>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</si>
  <si>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</si>
  <si>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</si>
  <si>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</si>
  <si>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</si>
  <si>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</si>
  <si>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</si>
  <si>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</si>
  <si>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</si>
  <si>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</si>
  <si>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</si>
  <si>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</si>
  <si>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</si>
  <si>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</si>
  <si>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</si>
  <si>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</si>
  <si>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</si>
  <si>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</si>
  <si>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</si>
  <si>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</si>
  <si>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</si>
  <si>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</si>
  <si>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</si>
  <si>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</si>
  <si>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</si>
  <si>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</si>
  <si>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</si>
  <si>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</si>
  <si>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</si>
  <si>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</si>
  <si>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</si>
  <si>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</si>
  <si>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</si>
  <si>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</si>
  <si>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</si>
  <si>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</si>
  <si>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</si>
  <si>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</si>
  <si>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</si>
  <si>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</si>
  <si>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</si>
  <si>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</si>
  <si>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</si>
  <si>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</si>
  <si>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</si>
  <si>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</si>
  <si>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</si>
  <si>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</si>
  <si>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</si>
  <si>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</si>
  <si>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</si>
  <si>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</si>
  <si>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</si>
  <si>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</si>
  <si>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</si>
  <si>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</si>
  <si>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</si>
  <si>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</si>
  <si>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</si>
  <si>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</si>
  <si>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</si>
  <si>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</si>
  <si>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</si>
  <si>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</si>
  <si>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</si>
  <si>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</si>
  <si>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</si>
  <si>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</si>
  <si>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</si>
  <si>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</si>
  <si>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</si>
  <si>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</si>
  <si>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</si>
  <si>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</si>
  <si>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</si>
  <si>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</si>
  <si>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</si>
  <si>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</si>
  <si>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</si>
  <si>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</si>
  <si>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</si>
  <si>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</si>
  <si>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</si>
  <si>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</si>
  <si>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</si>
  <si>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</si>
  <si>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</si>
  <si>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</si>
  <si>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</si>
  <si>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</si>
  <si>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</si>
  <si>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</si>
  <si>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</si>
  <si>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</si>
  <si>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</si>
  <si>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</si>
  <si>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</si>
  <si>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</si>
  <si>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</si>
  <si>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</si>
  <si>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</si>
  <si>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</si>
  <si>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</si>
  <si>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</si>
  <si>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</si>
  <si>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</si>
  <si>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</si>
  <si>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</si>
  <si>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</si>
  <si>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</si>
  <si>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</si>
  <si>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</si>
  <si>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</si>
  <si>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</si>
  <si>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</si>
  <si>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</si>
  <si>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</si>
  <si>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</si>
  <si>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</si>
  <si>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</si>
  <si>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</si>
  <si>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</si>
  <si>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</si>
  <si>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</si>
  <si>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</si>
  <si>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</si>
  <si>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</si>
  <si>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</si>
  <si>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</si>
  <si>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</si>
  <si>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</si>
  <si>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</si>
  <si>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</si>
  <si>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</si>
  <si>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</si>
  <si>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</si>
  <si>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</si>
  <si>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</si>
  <si>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</si>
  <si>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</si>
  <si>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</si>
  <si>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</si>
  <si>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</si>
  <si>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</si>
  <si>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</si>
  <si>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</si>
  <si>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</si>
  <si>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</si>
  <si>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</si>
  <si>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</si>
  <si>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</si>
  <si>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</si>
  <si>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</si>
  <si>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</si>
  <si>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</si>
  <si>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</si>
  <si>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</si>
  <si>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</si>
  <si>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</si>
  <si>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</si>
  <si>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</si>
  <si>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</si>
  <si>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</si>
  <si>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</si>
  <si>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</si>
  <si>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</si>
  <si>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</si>
  <si>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</si>
  <si>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</si>
  <si>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</si>
  <si>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</si>
  <si>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</si>
  <si>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</si>
  <si>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</si>
  <si>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</si>
  <si>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</si>
  <si>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</si>
  <si>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</si>
  <si>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</si>
  <si>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</si>
  <si>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</si>
  <si>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</si>
  <si>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</si>
  <si>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</si>
  <si>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</si>
  <si>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</si>
  <si>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</si>
  <si>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</si>
  <si>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</si>
  <si>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</si>
  <si>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</si>
  <si>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</si>
  <si>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</si>
  <si>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</si>
  <si>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</si>
  <si>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</si>
  <si>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</si>
  <si>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</si>
  <si>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</si>
  <si>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</si>
  <si>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</si>
  <si>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</si>
  <si>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</si>
  <si>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</si>
  <si>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</si>
  <si>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</si>
  <si>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</si>
  <si>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</si>
  <si>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</si>
  <si>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</si>
  <si>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</si>
  <si>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</si>
  <si>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</si>
  <si>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</si>
  <si>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</si>
  <si>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</si>
  <si>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</si>
  <si>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</si>
  <si>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</si>
  <si>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</si>
  <si>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</si>
  <si>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</si>
  <si>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</si>
  <si>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</si>
  <si>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</si>
  <si>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</si>
  <si>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</si>
  <si>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</si>
  <si>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</si>
  <si>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</si>
  <si>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</si>
  <si>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</si>
  <si>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</si>
  <si>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</si>
  <si>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</si>
  <si>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</si>
  <si>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</si>
  <si>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</si>
  <si>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</si>
  <si>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</si>
  <si>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</si>
  <si>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</si>
  <si>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</si>
  <si>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</si>
  <si>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</si>
  <si>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Interest - Distribution</t>
  </si>
  <si>
    <t>SFAS 112 Overfunding Asset</t>
  </si>
  <si>
    <t>Labor Related Expense</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</si>
  <si>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</si>
  <si>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</si>
  <si>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</si>
  <si>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</si>
  <si>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</si>
  <si>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</si>
  <si>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</si>
  <si>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</si>
  <si>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</si>
  <si>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</si>
  <si>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</si>
  <si>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</si>
  <si>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</si>
  <si>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</si>
  <si>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</si>
  <si>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</si>
  <si>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</si>
  <si>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</si>
  <si>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</si>
  <si>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</si>
  <si>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</si>
  <si>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</si>
  <si>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</si>
  <si>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</si>
  <si>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</si>
  <si>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</si>
  <si>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</si>
  <si>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</si>
  <si>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</si>
  <si>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</si>
  <si>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</si>
  <si>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</si>
  <si>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</si>
  <si>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</si>
  <si>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</si>
  <si>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</si>
  <si>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</si>
  <si>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</si>
  <si>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</si>
  <si>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</si>
  <si>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</si>
  <si>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</si>
  <si>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</si>
  <si>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</si>
  <si>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</si>
  <si>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</si>
  <si>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</si>
  <si>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</si>
  <si>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</si>
  <si>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</si>
  <si>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</si>
  <si>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</si>
  <si>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</si>
  <si>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</si>
  <si>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</si>
  <si>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</si>
  <si>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</si>
  <si>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</si>
  <si>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</si>
  <si>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</si>
  <si>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</si>
  <si>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</si>
  <si>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</si>
  <si>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</si>
  <si>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</si>
  <si>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</si>
  <si>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</si>
  <si>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</si>
  <si>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</si>
  <si>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</si>
  <si>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</si>
  <si>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</si>
  <si>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</si>
  <si>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</si>
  <si>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</si>
  <si>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</si>
  <si>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</si>
  <si>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</si>
  <si>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</si>
  <si>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</si>
  <si>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</si>
  <si>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</si>
  <si>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</si>
  <si>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</si>
  <si>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</si>
  <si>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</si>
  <si>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</si>
  <si>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</si>
  <si>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</si>
  <si>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</si>
  <si>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</si>
  <si>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</si>
  <si>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</si>
  <si>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</si>
  <si>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</si>
  <si>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</si>
  <si>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</si>
  <si>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</si>
  <si>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</si>
  <si>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</si>
  <si>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</si>
  <si>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</si>
  <si>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</si>
  <si>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</si>
  <si>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</si>
  <si>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</si>
  <si>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</si>
  <si>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</si>
  <si>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</si>
  <si>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</si>
  <si>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</si>
  <si>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</si>
  <si>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</si>
  <si>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</si>
  <si>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</si>
  <si>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</si>
  <si>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</si>
  <si>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</si>
  <si>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</si>
  <si>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</si>
  <si>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</si>
  <si>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</si>
  <si>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</si>
  <si>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</si>
  <si>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</si>
  <si>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</si>
  <si>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</si>
  <si>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</si>
  <si>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</si>
  <si>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</si>
  <si>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</si>
  <si>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</si>
  <si>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</si>
  <si>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</si>
  <si>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</si>
  <si>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</si>
  <si>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</si>
  <si>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</si>
  <si>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</si>
  <si>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</si>
  <si>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</si>
  <si>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</si>
  <si>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</si>
  <si>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</si>
  <si>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</si>
  <si>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</si>
  <si>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</si>
  <si>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</si>
  <si>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</si>
  <si>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</si>
  <si>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</si>
  <si>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</si>
  <si>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</si>
  <si>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</si>
  <si>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</si>
  <si>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</si>
  <si>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</si>
  <si>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</si>
  <si>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</si>
  <si>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</si>
  <si>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</si>
  <si>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</si>
  <si>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</si>
  <si>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</si>
  <si>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</si>
  <si>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</si>
  <si>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</si>
  <si>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</si>
  <si>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</si>
  <si>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</si>
  <si>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</si>
  <si>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</si>
  <si>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</si>
  <si>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</si>
  <si>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</si>
  <si>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</si>
  <si>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</si>
  <si>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</si>
  <si>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</si>
  <si>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</si>
  <si>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</si>
  <si>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</si>
  <si>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</si>
  <si>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</si>
  <si>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</si>
  <si>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</si>
  <si>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</si>
  <si>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</si>
  <si>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</si>
  <si>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</si>
  <si>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</si>
  <si>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</si>
  <si>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</si>
  <si>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</si>
  <si>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</si>
  <si>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</si>
  <si>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</si>
  <si>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</si>
  <si>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</si>
  <si>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</si>
  <si>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</si>
  <si>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</si>
  <si>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</si>
  <si>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</si>
  <si>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</si>
  <si>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</si>
  <si>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</si>
  <si>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</si>
  <si>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</si>
  <si>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</si>
  <si>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</si>
  <si>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</si>
  <si>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</si>
  <si>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</si>
  <si>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</si>
  <si>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</si>
  <si>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</si>
  <si>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</si>
  <si>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</si>
  <si>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</si>
  <si>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</si>
  <si>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</si>
  <si>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</si>
  <si>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</si>
  <si>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</si>
  <si>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</si>
  <si>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</si>
  <si>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</si>
  <si>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</si>
  <si>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</si>
  <si>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</si>
  <si>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</si>
  <si>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</si>
  <si>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</si>
  <si>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</si>
  <si>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</si>
  <si>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</si>
  <si>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</si>
  <si>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</si>
  <si>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</si>
  <si>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</si>
  <si>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</si>
  <si>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</si>
  <si>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</si>
  <si>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</si>
  <si>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</si>
  <si>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</si>
  <si>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</si>
  <si>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</si>
  <si>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</si>
  <si>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</si>
  <si>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</si>
  <si>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</si>
  <si>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</si>
  <si>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</si>
  <si>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</si>
  <si>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</si>
  <si>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</si>
  <si>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</si>
  <si>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</si>
  <si>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</si>
  <si>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</si>
  <si>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</si>
  <si>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</si>
  <si>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</si>
  <si>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</si>
  <si>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</si>
  <si>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</si>
  <si>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</si>
  <si>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</si>
  <si>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</si>
  <si>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</si>
  <si>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</si>
  <si>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</si>
  <si>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</si>
  <si>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</si>
  <si>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</si>
  <si>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</si>
  <si>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</si>
  <si>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</si>
  <si>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</si>
  <si>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</si>
  <si>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</si>
  <si>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</si>
  <si>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</si>
  <si>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</si>
  <si>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</si>
  <si>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</si>
  <si>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</si>
  <si>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</si>
  <si>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</si>
  <si>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</si>
  <si>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</si>
  <si>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</si>
  <si>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</si>
  <si>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</si>
  <si>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</si>
  <si>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</si>
  <si>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</si>
  <si>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</si>
  <si>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</si>
  <si>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</si>
  <si>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</si>
  <si>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KENTUCKY POWER COMPANY</t>
  </si>
  <si>
    <t>Other Prepayments</t>
  </si>
  <si>
    <t>1650009</t>
  </si>
  <si>
    <t>Prepaid Carry Cost-Factored AR</t>
  </si>
  <si>
    <t>Prepaid Use Taxes</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</si>
  <si>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</si>
  <si>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</si>
  <si>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</si>
  <si>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</si>
  <si>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</si>
  <si>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</si>
  <si>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</si>
  <si>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</si>
  <si>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</si>
  <si>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</si>
  <si>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</si>
  <si>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</si>
  <si>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Senior Unsecured Notes - Series G</t>
  </si>
  <si>
    <t>Senior Unsecured Notes - Series H</t>
  </si>
  <si>
    <t>Senior Unsecured Notes - Series J</t>
  </si>
  <si>
    <t>Real and Personal Property - Kentucky</t>
  </si>
  <si>
    <t>Real and Personal Property - W Va</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</si>
  <si>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</si>
  <si>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</si>
  <si>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</si>
  <si>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</si>
  <si>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Capital Structure Percentages</t>
  </si>
  <si>
    <t>9280000</t>
  </si>
  <si>
    <t>9280002</t>
  </si>
  <si>
    <t>9280005</t>
  </si>
  <si>
    <t>Regulatory Commission Exp-Case</t>
  </si>
  <si>
    <t>Reg Com Exp-FERC Trans Cases</t>
  </si>
  <si>
    <t>9301000</t>
  </si>
  <si>
    <t>9301001</t>
  </si>
  <si>
    <t>9301002</t>
  </si>
  <si>
    <t>9301003</t>
  </si>
  <si>
    <t>9301010</t>
  </si>
  <si>
    <t>9301012</t>
  </si>
  <si>
    <t>9301015</t>
  </si>
  <si>
    <t>Newspaper Advertising Space</t>
  </si>
  <si>
    <t>Radio Station Advertising Time</t>
  </si>
  <si>
    <t>TV Station Advertising Time</t>
  </si>
  <si>
    <t>Publicity</t>
  </si>
  <si>
    <t>Public Opinion Surveys</t>
  </si>
  <si>
    <t>Other Corporate Comm Exp</t>
  </si>
  <si>
    <t>Prepaid - Gen</t>
  </si>
  <si>
    <t>Prepaid Lease - Dist</t>
  </si>
  <si>
    <t>Prepaid Tax - Dist</t>
  </si>
  <si>
    <t>SFAS 158 Contra Acct</t>
  </si>
  <si>
    <t>Pension</t>
  </si>
  <si>
    <t>AR Factoring</t>
  </si>
  <si>
    <t>PJM OATT Over/Under Rec</t>
  </si>
  <si>
    <t xml:space="preserve">Michigan Corporate Income Tax Rate </t>
  </si>
  <si>
    <t>Kentucky Corporate Income Tax Rate</t>
  </si>
  <si>
    <t>NOL &amp; TAX CREDIT C/F - DEF TAX ASSET</t>
  </si>
  <si>
    <t>INT EXP CAPITALIZED FOR TAX</t>
  </si>
  <si>
    <t>CIAC - BOOK RECEIPTS</t>
  </si>
  <si>
    <t>CUST ADV INC FOR TAX</t>
  </si>
  <si>
    <t>DEFD FUEL EXP-CUR DEFL SET UP</t>
  </si>
  <si>
    <t>DEFD FUEL ADJ-ACCRD UTIL REVS</t>
  </si>
  <si>
    <t>DEFD FUEL ADJ-REG</t>
  </si>
  <si>
    <t>PROVS POSS REV REFDS</t>
  </si>
  <si>
    <t>PROV FOR RATE REFUND-TAX REFORM</t>
  </si>
  <si>
    <t>PROV FOR RATE REFUND-EXCESS PROTECTED</t>
  </si>
  <si>
    <t>MARK &amp; SPREAD-DEFL-190-A/L</t>
  </si>
  <si>
    <t>PROV WORKER'S COMP</t>
  </si>
  <si>
    <t>ACCRUED BK PENSION EXPENSE</t>
  </si>
  <si>
    <t>SUPPLEMENTAL EXECUTIVE RETIREMENT PLAN</t>
  </si>
  <si>
    <t>ACCRD SUP EXEC RETIR PLAN COSTS-SFAS 158</t>
  </si>
  <si>
    <t>ACCRD BK SUP. SAVINGS PLAN EXP</t>
  </si>
  <si>
    <t>ACCRUED PSI PLAN EXP</t>
  </si>
  <si>
    <t>BK PROV UNCOLL ACCTS</t>
  </si>
  <si>
    <t>PROV-TRADING CREDIT RISK - A/L</t>
  </si>
  <si>
    <t>PROV-FAS 157 - A/L</t>
  </si>
  <si>
    <t>PREL SURVEY&amp;INVEST RESERVE-BIG SANDY FGD</t>
  </si>
  <si>
    <t>DEFD COMPENSATION-BOOK EXPENSE</t>
  </si>
  <si>
    <t>ACCRD COMPANY INCENT PLAN-ENGAGE TO GAIN</t>
  </si>
  <si>
    <t>ACCRD COMPANYWIDE INCENTV PLAN</t>
  </si>
  <si>
    <t>ACCRUED BOOK VACATION PAY</t>
  </si>
  <si>
    <t>(ICDP)-INCENTIVE COMP DEFERRAL PLAN</t>
  </si>
  <si>
    <t>ACCRUED BK SEVERANCE BENEFITS</t>
  </si>
  <si>
    <t>ECONOMIC DEVEL FUND - CURRENT</t>
  </si>
  <si>
    <t>ECONOMIC DEVEL FUND - NON-CURRENT</t>
  </si>
  <si>
    <t>ACCRUED INTEREST EXP -STATE</t>
  </si>
  <si>
    <t>ACCRUED INTEREST-LONG-TERM - FIN 48</t>
  </si>
  <si>
    <t>ACCRUED INTEREST-SHORT-TERM - FIN 48</t>
  </si>
  <si>
    <t>ACCRUED STATE INCOME TAX EXP</t>
  </si>
  <si>
    <t>PROV LOSS-CAR CHG-PURCHASD EMA</t>
  </si>
  <si>
    <t>FEDERAL MITIGATION PROGRAMS</t>
  </si>
  <si>
    <t xml:space="preserve">STATE MITIGATION PROGRAMS </t>
  </si>
  <si>
    <t>DEFD STORM DAMAGE</t>
  </si>
  <si>
    <t>TAX &gt; BOOK BASIS - EMA-A/C 190</t>
  </si>
  <si>
    <t>DEFD TX LOSS-INTERCO SALE-EMA</t>
  </si>
  <si>
    <t>DEFD REV-BONUS LEASE SHORT-TERM</t>
  </si>
  <si>
    <t>DEFD REV-BONUS LEASE LONG-TERM</t>
  </si>
  <si>
    <t>DEFD BOOK GAIN-EPA AUCTION</t>
  </si>
  <si>
    <t>REG LIAB-UNREAL MTM GAIN-DEFL</t>
  </si>
  <si>
    <t>DEFD BK CONTRACT REVENUE</t>
  </si>
  <si>
    <t>ADVANCE RENTAL INC (CUR MO)</t>
  </si>
  <si>
    <t>REG ASSET-CCS FEED STUDY RESERVE</t>
  </si>
  <si>
    <t>CAPITALIZED SOFTWARE COSTS-TAX</t>
  </si>
  <si>
    <t>ACCRD SFAS 106 PST RETIRE EXP</t>
  </si>
  <si>
    <t>SFAS 106 PST RETIRE EXP - NON-DEDUCT CONT</t>
  </si>
  <si>
    <t>ACCRD OPEB COSTS - SFAS 158</t>
  </si>
  <si>
    <t>ACCRD SFAS 112 PST EMPLOY BEN</t>
  </si>
  <si>
    <t>ACCRD BOOK ARO EXPENSE - SFAS 143</t>
  </si>
  <si>
    <t>SFAS 106 - MEDICARE SUBSIDY - NORM - (PPACA)</t>
  </si>
  <si>
    <t>GROSS RECEIPTS- TAX EXPENSE</t>
  </si>
  <si>
    <t>FIN 48 - DEFD STATE INCOME TAXES</t>
  </si>
  <si>
    <t>ACCRD SIT/FRANCHISE TAX RESERVE</t>
  </si>
  <si>
    <t xml:space="preserve">ACCRD SALES &amp; USE TAX RESERVE </t>
  </si>
  <si>
    <t>ACCRD SIT TX RESERVE-LNG-TERM-FIN 48</t>
  </si>
  <si>
    <t>ACCRD SIT TX RESERVE-SHRT-TERM-FIN 48</t>
  </si>
  <si>
    <t>NOL - DEFERRED TAX ASSET RECLASS</t>
  </si>
  <si>
    <t>1991-1996 IRS AUDIT SETTLEMENT</t>
  </si>
  <si>
    <t>IRS CAPITALIZATION ADJUSTMENT</t>
  </si>
  <si>
    <t>RESTRICTED STOCK PLAN</t>
  </si>
  <si>
    <t>PSI - STOCK BASED COMP</t>
  </si>
  <si>
    <t>AMT CREDIT - DEFERRED</t>
  </si>
  <si>
    <t xml:space="preserve">NON-UTILITY DEFERRED FIT </t>
  </si>
  <si>
    <t>SFAS 109 FLOW-THRU 190.3</t>
  </si>
  <si>
    <t>SFAS 109 EXCESS DFIT 190.4</t>
  </si>
  <si>
    <t>SFAS 133 ADIT FED - SFAS NONAFFIL 1900006</t>
  </si>
  <si>
    <t>ADIT FED - PENSION OCI NAF 1900009</t>
  </si>
  <si>
    <t>ADIT FED - PENSION OCI NAF 1900010</t>
  </si>
  <si>
    <t>ADIT FED - NON-UMWA PRW OCI NAF 1900011</t>
  </si>
  <si>
    <t>ADIT-FED-HDG-CF-INT RATE1900015</t>
  </si>
  <si>
    <t>DEFERRED SIT  1901002</t>
  </si>
  <si>
    <t>TX AMORT POLLUTION CONT EQPT</t>
  </si>
  <si>
    <t>NON-UTILITY DEFERRED FIT 281.2</t>
  </si>
  <si>
    <t>SFAS 109 FLOW-THRU 281.3</t>
  </si>
  <si>
    <t>SFAS 109 EXCESS DFIT 281.4</t>
  </si>
  <si>
    <t>BOOK VS. TAX DEPRECIATION</t>
  </si>
  <si>
    <t>EXCESS FIT % RATE CHANGE</t>
  </si>
  <si>
    <t>EX L/T DFIT TX RESERVE - 1986 TRA</t>
  </si>
  <si>
    <t>CAPD INTEREST - SECTION 481(a) - CHANGE IN METHD</t>
  </si>
  <si>
    <t>RELOCATION COST - SECTION 481(a) - CHANGE IN METH</t>
  </si>
  <si>
    <t>PJM INTEGRATION - SEC 481(a) - INTANG - DFD LABOR</t>
  </si>
  <si>
    <t>R &amp; D DEDUCTION - SECTION 174</t>
  </si>
  <si>
    <t xml:space="preserve">ACRS  NORM-HRJ </t>
  </si>
  <si>
    <t>BK PLANT IN SERVICE-SFAS 143-ARO</t>
  </si>
  <si>
    <t>NORMALIZED BASIS DIFFS - TRANSFERRED PLANTS</t>
  </si>
  <si>
    <t>DFIT GENERATION PLANT</t>
  </si>
  <si>
    <t>GAIN/LOSS ON ACRS/MACRS PROPERTY</t>
  </si>
  <si>
    <t>GAIN/LOSS ON ACRS/MACRS-BK/TX UNIT PROP</t>
  </si>
  <si>
    <t>ABFUDC</t>
  </si>
  <si>
    <t>ABFUDC- HRJ POST IN-SERVICE</t>
  </si>
  <si>
    <t>ABFUDC-HRJ</t>
  </si>
  <si>
    <t>TAXES CAPITALIZED</t>
  </si>
  <si>
    <t>PENSIONS CAPITALIZED</t>
  </si>
  <si>
    <t>SEC 481 PENS/OPEB ADJUSTMENT</t>
  </si>
  <si>
    <t>SAVINGS PLAN CAPITALIZED</t>
  </si>
  <si>
    <t>PERCENT REPAIR ALLOWANCE</t>
  </si>
  <si>
    <t>BOOK/TAX UNIT OF PROPERTY ADJ</t>
  </si>
  <si>
    <t>BK/TAX UNIT OF PROPERTY ADJ-SEC 481 ADJ</t>
  </si>
  <si>
    <t>TX ACCEL AMORT - CAPITALIZED SOFTWARE</t>
  </si>
  <si>
    <t>CAPITALIZED RELOCATION COSTS</t>
  </si>
  <si>
    <t>CAPITALIZED LEASES - A/C 1011 ASSETS</t>
  </si>
  <si>
    <t>REMOVAL COSTS REV - SFAS 143 - ARO</t>
  </si>
  <si>
    <t>REMOVAL CST - NORMALIZED</t>
  </si>
  <si>
    <t>2007 IRS AUDIT ADJUSTMENTS - A/C 282</t>
  </si>
  <si>
    <t>EXCESS ADFIT</t>
  </si>
  <si>
    <t>SFAS 109 FLOW-THRU 282.3</t>
  </si>
  <si>
    <t>SFAS 109 EXCESS DFIT 282.4</t>
  </si>
  <si>
    <t>NOL-STATE C/F-DEF TAX ASSET-L/T - KY</t>
  </si>
  <si>
    <t>DEFD FUEL CUR SET UP A/C 283</t>
  </si>
  <si>
    <t>DEFD FUEL ACC REVS A/C 283</t>
  </si>
  <si>
    <t>DEFD FUEL REG ADJ A/C 283</t>
  </si>
  <si>
    <t xml:space="preserve">UNDERRECOV FUEL COST </t>
  </si>
  <si>
    <t>PROP TX-STATE 2 OLD METHOD-TX</t>
  </si>
  <si>
    <t>MTM BK GAIN - A/L - TAX DEFL</t>
  </si>
  <si>
    <t>MARK &amp; SPREAD - DEFL - 283 A/L</t>
  </si>
  <si>
    <t>BOOK PROV UNCOLL ACCTS</t>
  </si>
  <si>
    <t>ACCRUED BK PENSION COSTS - SFAS 158</t>
  </si>
  <si>
    <t>REG ASSET - DEFERRED RTO COSTS</t>
  </si>
  <si>
    <t>BK DEFL-DEMAND SIDE MNGMT EXP</t>
  </si>
  <si>
    <t>BOOK &gt; TAX - EMA - A/C 283</t>
  </si>
  <si>
    <t>DEFD BK LOSS-NON AFF SALE-EMA</t>
  </si>
  <si>
    <t>DEFD TX GAIN - INTERCO SALE - EMA</t>
  </si>
  <si>
    <t>DEFD TAX GAIN - EPA AUCTION</t>
  </si>
  <si>
    <t>REG ASSET-SFAS 143 - ARO</t>
  </si>
  <si>
    <t>REG ASSET-SFAS 158 - PENSIONS</t>
  </si>
  <si>
    <t>REG ASSET-SFAS 158 - SERP</t>
  </si>
  <si>
    <t>REG ASSET-SFAS 158 - OPEB</t>
  </si>
  <si>
    <t>REG ASSET-NERC COMPL/CYBER CC-UNREC EQ</t>
  </si>
  <si>
    <t>REG ASSET-NERC COMPL/CYBER SEC-CAR CST</t>
  </si>
  <si>
    <t>REG ASSET-NERC COMPL/CYBER SEC-DEF DEPR</t>
  </si>
  <si>
    <t>REG ASSET-DEFD DEPR-BIG SANDY U1 GAS</t>
  </si>
  <si>
    <t>REG ASSET-DEFD PROP TAX-BIG SANDY U1 GAS</t>
  </si>
  <si>
    <t>REG ASSET-CAPACITY CHARGE TARIFF REV</t>
  </si>
  <si>
    <t>REG ASSET-NET CCS FEED STUDY COSTS</t>
  </si>
  <si>
    <t>REG ASSET-ATR UNDER RECOVERY</t>
  </si>
  <si>
    <t xml:space="preserve">REG ASSET-BIG SANDY U1 OR-UNDER RECOV </t>
  </si>
  <si>
    <t>REG ASSET-BIG SANDY RETIRE COSTS RECOV</t>
  </si>
  <si>
    <t>REG ASSET-BIG SANDY RETIRE RIDER U2 O&amp;M</t>
  </si>
  <si>
    <t>REG ASSET-UND RECOV-PURCH PWR PPA</t>
  </si>
  <si>
    <t>REG ASSET-DEFD DEPREC-ENVIRONMENTAL</t>
  </si>
  <si>
    <t>REG ASSET-CAR CHGS-ENVIRON COSTS</t>
  </si>
  <si>
    <t>REG ASSET-CAR CHGS-ENVIRON UNREC EQUITY</t>
  </si>
  <si>
    <t>REG ASSET-DEFD O&amp;M-ENVIRONMENTAL CSTS</t>
  </si>
  <si>
    <t>REG ASSET-DEFD CONSUM EXP-ENVIRON CSTS</t>
  </si>
  <si>
    <t>REG ASSET-DEFD PROP TAX EXP-ENVIRON CSTS</t>
  </si>
  <si>
    <t>REG ASSET-BIG SANDY U1 OR-UNREC EQUITY CC</t>
  </si>
  <si>
    <t xml:space="preserve">REG ASSET-BIG SANDY U1 OR-UNDER RECOV CC </t>
  </si>
  <si>
    <t>REG ASSET-ROCKPORT CAPACITY DEF-EQ CC</t>
  </si>
  <si>
    <t>REG ASSET-ROCKPORT CAPACITY CC DEFERRAL</t>
  </si>
  <si>
    <t>REG ASSET-ROCKPORT CAPACITY DEFERRAL</t>
  </si>
  <si>
    <t>REG ASSET-REMOVAL COSTS-AMORT-BIG SANDY</t>
  </si>
  <si>
    <t>REG ASSET-SPENT ARO-BIG SANDY</t>
  </si>
  <si>
    <t>REG ASSET-UNRECOVERED PLANT-BIG SANDY</t>
  </si>
  <si>
    <t>REG ASSET-NBV-ARO-RETIRED PLANTS</t>
  </si>
  <si>
    <t>REG ASSET-M&amp;S RETIRING PLANTS</t>
  </si>
  <si>
    <t>BOOK LEASES CAPITALIZED FOR TAX</t>
  </si>
  <si>
    <t>CAPITALIZED SOFTWARE COST - BOOK</t>
  </si>
  <si>
    <t>LOSS ON REACQUIRED DEBT</t>
  </si>
  <si>
    <t>SFAS 106 PST RETIRE EXP-NON-DEDUCT CONT</t>
  </si>
  <si>
    <t>SFAS 106-MEDICARE SUBSIDY-(PPACA)-REG ASSET</t>
  </si>
  <si>
    <t>BK DEFL - MERGER COSTS</t>
  </si>
  <si>
    <t>REG ASSET - ACCRUED SFAS 112</t>
  </si>
  <si>
    <t>NON-UTILITY DEFERRED FIT 283.2</t>
  </si>
  <si>
    <t>SFAS 109 FLOW-THRU 283.3</t>
  </si>
  <si>
    <t>SFAS 109 EXCESS DFIT 283.4</t>
  </si>
  <si>
    <t>SFAS 133 ADIT FED - SFAS 133 NONAFFIL 2830006</t>
  </si>
  <si>
    <t>ADIT - FED-HDG-CF-INT RATE 2830015</t>
  </si>
  <si>
    <t xml:space="preserve">SFAS 109 - DEFD STATE INCOME TAXES </t>
  </si>
  <si>
    <t>pg. 263, ln. 5</t>
  </si>
  <si>
    <t>pg. 263, ln. 6</t>
  </si>
  <si>
    <t>pg. 263, ln. 8</t>
  </si>
  <si>
    <t>pg. 263, ln. 9</t>
  </si>
  <si>
    <t>pg. 263, ln. 32</t>
  </si>
  <si>
    <t>pg. 263, ln. 37</t>
  </si>
  <si>
    <t>165000219</t>
  </si>
  <si>
    <t>165001219</t>
  </si>
  <si>
    <t>165001119</t>
  </si>
  <si>
    <t>Fairs, Shows, and Exhibits</t>
  </si>
  <si>
    <t>BOOK OPERATING LEASE - ASSET</t>
  </si>
  <si>
    <t>BOOK OPERATING LEASE - LIAB</t>
  </si>
  <si>
    <t>TAX DEPRECIATION LOOKBACK</t>
  </si>
  <si>
    <t>REG ASSET-GreenHat Settlement</t>
  </si>
  <si>
    <t>REG ASSET-Greenhat Liability</t>
  </si>
  <si>
    <t xml:space="preserve"> GENERAL PLANT</t>
  </si>
  <si>
    <t>Transportation Equipment</t>
  </si>
  <si>
    <t>Power Operated Equipment</t>
  </si>
  <si>
    <t>KENTUCKY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</si>
  <si>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</si>
  <si>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</si>
  <si>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</si>
  <si>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</si>
  <si>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</si>
  <si>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</si>
  <si>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</si>
  <si>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</si>
  <si>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</si>
  <si>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</si>
  <si>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</si>
  <si>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</si>
  <si>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</si>
  <si>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</si>
  <si>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</si>
  <si>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</si>
  <si>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</si>
  <si>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</si>
  <si>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</si>
  <si>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</si>
  <si>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</si>
  <si>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</si>
  <si>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</si>
  <si>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</si>
  <si>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</si>
  <si>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</si>
  <si>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</si>
  <si>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</si>
  <si>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</si>
  <si>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</si>
  <si>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</si>
  <si>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</si>
  <si>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</si>
  <si>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</si>
  <si>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</si>
  <si>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</si>
  <si>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</si>
  <si>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</si>
  <si>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</si>
  <si>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</si>
  <si>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</si>
  <si>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</si>
  <si>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</si>
  <si>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</si>
  <si>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</si>
  <si>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</si>
  <si>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</si>
  <si>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</si>
  <si>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</si>
  <si>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</si>
  <si>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</si>
  <si>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</si>
  <si>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</si>
  <si>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</si>
  <si>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</si>
  <si>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</si>
  <si>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</si>
  <si>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</si>
  <si>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</si>
  <si>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</si>
  <si>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</si>
  <si>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</si>
  <si>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</si>
  <si>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</si>
  <si>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</si>
  <si>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</si>
  <si>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</si>
  <si>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</si>
  <si>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</si>
  <si>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</si>
  <si>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</si>
  <si>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</si>
  <si>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</si>
  <si>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</si>
  <si>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</si>
  <si>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</si>
  <si>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</si>
  <si>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NOTE E:</t>
  </si>
  <si>
    <t>Excess Balance at Remeasurement (NOTE C)</t>
  </si>
  <si>
    <t>Amortization Methodology (NOTE D)</t>
  </si>
  <si>
    <t>410/411
Excess Amortization</t>
  </si>
  <si>
    <t>NOTE E</t>
  </si>
  <si>
    <t>Total For Accounting Entires (Sum of Lines 1a through 2c)</t>
  </si>
  <si>
    <t>NOTE F</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</si>
  <si>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</si>
  <si>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</si>
  <si>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</si>
  <si>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</si>
  <si>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</si>
  <si>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</si>
  <si>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</si>
  <si>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2282003</t>
  </si>
  <si>
    <t>pg. 263.1, ln. 18</t>
  </si>
  <si>
    <t>pg. 263.1, ln. 23</t>
  </si>
  <si>
    <t>pg. 263.2, ln. 5</t>
  </si>
  <si>
    <t>pg. 263, ln. 33</t>
  </si>
  <si>
    <t>pg. 263.1, ln. 5</t>
  </si>
  <si>
    <t>pg. 263.2, ln. 14</t>
  </si>
  <si>
    <t>pg. 263.1, ln. 11</t>
  </si>
  <si>
    <t>EFFECTIVE AS OF 4/1/2012</t>
  </si>
  <si>
    <t>EFFECTIVE AS OF 3/1/2019</t>
  </si>
  <si>
    <t>WS B-1 Col B/C ADIT item 2.06</t>
  </si>
  <si>
    <t>2018 Forecasted Revenue Requirement For Year 2018</t>
  </si>
  <si>
    <t>An over or under collection will be recovered prorata over 2018, held for 2019 and returned prorate over 2020</t>
  </si>
  <si>
    <t>165000220</t>
  </si>
  <si>
    <t>165001220</t>
  </si>
  <si>
    <t>1650011120</t>
  </si>
  <si>
    <t>Video Communications</t>
  </si>
  <si>
    <t>9301009</t>
  </si>
  <si>
    <t>9301014</t>
  </si>
  <si>
    <t>9302017</t>
  </si>
  <si>
    <t>Selling Price Normalization Exp</t>
  </si>
  <si>
    <t>INSURANCE PREMIUMS ACCRUED</t>
  </si>
  <si>
    <t>ACCRUED BK BENEFIT COSTS</t>
  </si>
  <si>
    <t>STOCK BASED COMP-CAREER SHARES</t>
  </si>
  <si>
    <t>FICA - NON-CUURENT</t>
  </si>
  <si>
    <t>DEFD REV - SAN ANGELO SETTLEMENT</t>
  </si>
  <si>
    <t>IRS AUDIT SETTLEMENT</t>
  </si>
  <si>
    <t>EMPLOYER SAVINGS PLAN MATCH</t>
  </si>
  <si>
    <t>BK ACCRL- COOK CT RENT HOLIDAY</t>
  </si>
  <si>
    <t>DEFD EXPS (A/C 186)</t>
  </si>
  <si>
    <t>REG ASSET-OSS MARGIN SHARING</t>
  </si>
  <si>
    <t>REG ASSET-IGCC PRE-CONSTRUCTION COSTS</t>
  </si>
  <si>
    <t>REG ASSET-KENTUCKY UNDER RECOV-PPA RIDER</t>
  </si>
  <si>
    <t>REG ASSET-2020 KY Storm Deferral</t>
  </si>
  <si>
    <t>RATE CASE DEFD CHGS</t>
  </si>
  <si>
    <t>pg. 263, ln. 40</t>
  </si>
  <si>
    <t>pg. 263.1, ln. 4</t>
  </si>
  <si>
    <t>pg. 263.1, ln. 40</t>
  </si>
  <si>
    <t>pg. 263.1, ln. 39</t>
  </si>
  <si>
    <t>pg. 263, ln. 35</t>
  </si>
  <si>
    <t>pg. 263.1, ln. 10</t>
  </si>
  <si>
    <t>pg. 263.1, ln. 19</t>
  </si>
  <si>
    <t>pg. 263.1, ln. 24</t>
  </si>
  <si>
    <t>pg. 263.1, ln. 26</t>
  </si>
  <si>
    <t>pg. 263.2, ln. 2</t>
  </si>
  <si>
    <t>pg. 263.2, ln. 3</t>
  </si>
  <si>
    <t>pg. 263.2, ln. 6</t>
  </si>
  <si>
    <t>pg. 263.2, ln. 18</t>
  </si>
  <si>
    <t>pg. 263.1, ln. 7</t>
  </si>
  <si>
    <t>pg. 263.1, ln. 14</t>
  </si>
  <si>
    <t>For Year Ended December 31, 2020</t>
  </si>
  <si>
    <t>1/1/2020 Beginning  Balances</t>
  </si>
  <si>
    <t>12/31/2020 Ending Balance</t>
  </si>
  <si>
    <t>WS B - 2 Col B/C, ADIT item 2.78</t>
  </si>
  <si>
    <t>283 EXCESS ADJUSTMENT</t>
  </si>
  <si>
    <t>WS B - 1 Col C, ADIT Item 5.36</t>
  </si>
  <si>
    <t>WS B - 1 Col C, ADIT Item 9.68</t>
  </si>
  <si>
    <t>WS B - 1 Col C, ADIT Item 9.71</t>
  </si>
  <si>
    <t>WS B - 1 Col N, ADIT 5.33</t>
  </si>
  <si>
    <t>WS B - 1 Col N, item 9.68</t>
  </si>
  <si>
    <t>WS B - 1 Cols M+N+O , ADIT Item 5.33</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</si>
  <si>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</si>
  <si>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</si>
  <si>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</si>
  <si>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</si>
  <si>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</si>
  <si>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</si>
  <si>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</si>
  <si>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</si>
  <si>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</si>
  <si>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</si>
  <si>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</si>
  <si>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</si>
  <si>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</si>
  <si>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</si>
  <si>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</si>
  <si>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</si>
  <si>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</si>
  <si>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</si>
  <si>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</si>
  <si>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</si>
  <si>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pg. 263.2, ln. 17</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</si>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</sst>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
      <i/>
      <sz val="12"/>
      <name val="Arial MT"/>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92D050"/>
        <bgColor indexed="64"/>
      </patternFill>
    </fill>
  </fills>
  <borders count="7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s>
  <cellStyleXfs count="729">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57"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7"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3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7" fillId="0" borderId="0" applyFont="0" applyFill="0" applyBorder="0" applyAlignment="0" applyProtection="0"/>
    <xf numFmtId="44" fontId="158"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8" fillId="0" borderId="0" applyFont="0" applyFill="0" applyBorder="0" applyAlignment="0" applyProtection="0"/>
    <xf numFmtId="44" fontId="157"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32" fillId="0" borderId="0"/>
    <xf numFmtId="3" fontId="14" fillId="0" borderId="0"/>
    <xf numFmtId="3" fontId="14" fillId="0" borderId="0"/>
    <xf numFmtId="3" fontId="132" fillId="0" borderId="0"/>
    <xf numFmtId="0" fontId="14" fillId="0" borderId="0"/>
    <xf numFmtId="3" fontId="14" fillId="0" borderId="0"/>
    <xf numFmtId="3" fontId="132" fillId="0" borderId="0"/>
    <xf numFmtId="3" fontId="14" fillId="0" borderId="0"/>
    <xf numFmtId="0" fontId="158" fillId="0" borderId="0"/>
    <xf numFmtId="3" fontId="132" fillId="0" borderId="0"/>
    <xf numFmtId="3" fontId="14" fillId="0" borderId="0"/>
    <xf numFmtId="3" fontId="132" fillId="0" borderId="0"/>
    <xf numFmtId="3" fontId="14" fillId="0" borderId="0"/>
    <xf numFmtId="0" fontId="14" fillId="0" borderId="0"/>
    <xf numFmtId="3" fontId="132" fillId="0" borderId="0"/>
    <xf numFmtId="3" fontId="14" fillId="0" borderId="0"/>
    <xf numFmtId="3" fontId="132" fillId="0" borderId="0"/>
    <xf numFmtId="3" fontId="14" fillId="0" borderId="0"/>
    <xf numFmtId="3" fontId="132" fillId="0" borderId="0"/>
    <xf numFmtId="3" fontId="14" fillId="0" borderId="0"/>
    <xf numFmtId="3" fontId="133" fillId="0" borderId="0"/>
    <xf numFmtId="3" fontId="14" fillId="0" borderId="0"/>
    <xf numFmtId="0" fontId="14" fillId="0" borderId="0"/>
    <xf numFmtId="0" fontId="131" fillId="0" borderId="0"/>
    <xf numFmtId="0" fontId="159" fillId="0" borderId="0"/>
    <xf numFmtId="0" fontId="14" fillId="0" borderId="0"/>
    <xf numFmtId="0" fontId="14" fillId="0" borderId="0"/>
    <xf numFmtId="0" fontId="159" fillId="0" borderId="0"/>
    <xf numFmtId="0" fontId="14" fillId="0" borderId="0"/>
    <xf numFmtId="0"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4" fillId="0" borderId="0"/>
    <xf numFmtId="3" fontId="140" fillId="0" borderId="0"/>
    <xf numFmtId="3" fontId="14" fillId="0" borderId="0"/>
    <xf numFmtId="3" fontId="140"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32"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37" fillId="0" borderId="0"/>
    <xf numFmtId="0" fontId="14" fillId="0" borderId="0"/>
    <xf numFmtId="0" fontId="140" fillId="0" borderId="0"/>
    <xf numFmtId="0" fontId="14" fillId="0" borderId="0"/>
    <xf numFmtId="0" fontId="157" fillId="0" borderId="0"/>
    <xf numFmtId="0" fontId="14" fillId="0" borderId="0"/>
    <xf numFmtId="3" fontId="124" fillId="0" borderId="0"/>
    <xf numFmtId="3" fontId="14" fillId="0" borderId="0"/>
    <xf numFmtId="0" fontId="14" fillId="0" borderId="0"/>
    <xf numFmtId="3" fontId="14" fillId="0" borderId="0"/>
    <xf numFmtId="0" fontId="14" fillId="0" borderId="0"/>
    <xf numFmtId="0" fontId="158" fillId="0" borderId="0"/>
    <xf numFmtId="0" fontId="132" fillId="0" borderId="0"/>
    <xf numFmtId="0" fontId="14" fillId="0" borderId="0"/>
    <xf numFmtId="0" fontId="14" fillId="0" borderId="0"/>
    <xf numFmtId="0" fontId="133" fillId="0" borderId="0"/>
    <xf numFmtId="0" fontId="14" fillId="0" borderId="0"/>
    <xf numFmtId="0" fontId="140" fillId="0" borderId="0"/>
    <xf numFmtId="0" fontId="14" fillId="0" borderId="0"/>
    <xf numFmtId="0" fontId="158" fillId="0" borderId="0"/>
    <xf numFmtId="0" fontId="14" fillId="0" borderId="0"/>
    <xf numFmtId="0" fontId="158" fillId="0" borderId="0"/>
    <xf numFmtId="0" fontId="14" fillId="0" borderId="0"/>
    <xf numFmtId="0" fontId="158" fillId="0" borderId="0"/>
    <xf numFmtId="0" fontId="14" fillId="0" borderId="0"/>
    <xf numFmtId="0" fontId="5" fillId="0" borderId="0" applyProtection="0"/>
    <xf numFmtId="0" fontId="4" fillId="0" borderId="0"/>
    <xf numFmtId="0" fontId="133" fillId="0" borderId="0"/>
    <xf numFmtId="0" fontId="14" fillId="0" borderId="0"/>
    <xf numFmtId="0" fontId="14" fillId="0" borderId="0"/>
    <xf numFmtId="0" fontId="137" fillId="0" borderId="0"/>
    <xf numFmtId="172" fontId="5" fillId="0" borderId="0" applyProtection="0"/>
    <xf numFmtId="0" fontId="4" fillId="0" borderId="0"/>
    <xf numFmtId="0" fontId="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7"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3" fontId="170" fillId="0" borderId="0"/>
    <xf numFmtId="0" fontId="3" fillId="0" borderId="0"/>
    <xf numFmtId="0" fontId="4" fillId="0" borderId="0"/>
    <xf numFmtId="9" fontId="171" fillId="0" borderId="0" applyFont="0" applyFill="0" applyBorder="0" applyAlignment="0" applyProtection="0"/>
    <xf numFmtId="9" fontId="4"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172" fontId="171"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3" fontId="4" fillId="0" borderId="0"/>
    <xf numFmtId="0" fontId="2" fillId="0" borderId="0"/>
    <xf numFmtId="43" fontId="2" fillId="0" borderId="0" applyFont="0" applyFill="0" applyBorder="0" applyAlignment="0" applyProtection="0"/>
    <xf numFmtId="0" fontId="2" fillId="0" borderId="0"/>
    <xf numFmtId="172" fontId="171" fillId="0" borderId="0" applyProtection="0"/>
    <xf numFmtId="44" fontId="175" fillId="0" borderId="0" applyFont="0" applyFill="0" applyBorder="0" applyAlignment="0" applyProtection="0"/>
    <xf numFmtId="43" fontId="171" fillId="0" borderId="0" applyFont="0" applyFill="0" applyBorder="0" applyAlignment="0" applyProtection="0"/>
    <xf numFmtId="0" fontId="4" fillId="0" borderId="0" applyFont="0" applyAlignment="0"/>
    <xf numFmtId="172" fontId="8" fillId="0" borderId="58" applyFill="0"/>
    <xf numFmtId="0" fontId="4" fillId="0" borderId="0" applyNumberFormat="0" applyFont="0" applyAlignment="0"/>
    <xf numFmtId="172" fontId="4" fillId="0" borderId="0" applyFill="0"/>
    <xf numFmtId="0" fontId="4" fillId="0" borderId="0" applyFill="0">
      <alignment horizontal="center" vertical="center" wrapText="1"/>
    </xf>
    <xf numFmtId="0" fontId="50" fillId="20" borderId="59" applyNumberFormat="0" applyAlignment="0" applyProtection="0"/>
    <xf numFmtId="0" fontId="50" fillId="20" borderId="59"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57" fillId="7" borderId="59" applyNumberFormat="0" applyAlignment="0" applyProtection="0"/>
    <xf numFmtId="0" fontId="57" fillId="7" borderId="59" applyNumberFormat="0" applyAlignment="0" applyProtection="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2"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0" fontId="4" fillId="0" borderId="0"/>
    <xf numFmtId="3"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5" fillId="23" borderId="60" applyNumberFormat="0" applyFont="0" applyAlignment="0" applyProtection="0"/>
    <xf numFmtId="0" fontId="5" fillId="23"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9" fontId="171" fillId="0" borderId="0" applyFont="0" applyFill="0" applyBorder="0" applyAlignment="0" applyProtection="0"/>
    <xf numFmtId="172" fontId="171" fillId="0" borderId="0" applyProtection="0"/>
    <xf numFmtId="43" fontId="2" fillId="0" borderId="0" applyFont="0" applyFill="0" applyBorder="0" applyAlignment="0" applyProtection="0"/>
    <xf numFmtId="172" fontId="8" fillId="0" borderId="65" applyFill="0"/>
    <xf numFmtId="0" fontId="60" fillId="20" borderId="68" applyNumberFormat="0" applyAlignment="0" applyProtection="0"/>
    <xf numFmtId="0" fontId="60" fillId="20" borderId="68" applyNumberFormat="0" applyAlignment="0" applyProtection="0"/>
    <xf numFmtId="0" fontId="5" fillId="23" borderId="67" applyNumberFormat="0" applyFont="0" applyAlignment="0" applyProtection="0"/>
    <xf numFmtId="0" fontId="5" fillId="23" borderId="67" applyNumberFormat="0" applyFont="0" applyAlignment="0" applyProtection="0"/>
    <xf numFmtId="0" fontId="50" fillId="20" borderId="66" applyNumberFormat="0" applyAlignment="0" applyProtection="0"/>
    <xf numFmtId="0" fontId="50" fillId="20" borderId="66" applyNumberFormat="0" applyAlignment="0" applyProtection="0"/>
    <xf numFmtId="172" fontId="8" fillId="0" borderId="61" applyFill="0"/>
    <xf numFmtId="0" fontId="50" fillId="20" borderId="62" applyNumberFormat="0" applyAlignment="0" applyProtection="0"/>
    <xf numFmtId="0" fontId="50" fillId="20" borderId="62"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7" fillId="7" borderId="66" applyNumberFormat="0" applyAlignment="0" applyProtection="0"/>
    <xf numFmtId="0" fontId="57" fillId="7" borderId="66" applyNumberFormat="0" applyAlignment="0" applyProtection="0"/>
    <xf numFmtId="0" fontId="57" fillId="7" borderId="62" applyNumberFormat="0" applyAlignment="0" applyProtection="0"/>
    <xf numFmtId="0" fontId="57" fillId="7" borderId="62" applyNumberFormat="0" applyAlignment="0" applyProtection="0"/>
    <xf numFmtId="0" fontId="57" fillId="7" borderId="66" applyNumberFormat="0" applyAlignment="0" applyProtection="0"/>
    <xf numFmtId="0" fontId="57" fillId="7" borderId="66" applyNumberFormat="0" applyAlignment="0" applyProtection="0"/>
    <xf numFmtId="0" fontId="2" fillId="0" borderId="0"/>
    <xf numFmtId="0" fontId="4" fillId="0" borderId="0"/>
    <xf numFmtId="0" fontId="4" fillId="0" borderId="0"/>
    <xf numFmtId="0" fontId="2" fillId="0" borderId="0"/>
    <xf numFmtId="0" fontId="50" fillId="20" borderId="66" applyNumberFormat="0" applyAlignment="0" applyProtection="0"/>
    <xf numFmtId="0" fontId="2" fillId="0" borderId="0"/>
    <xf numFmtId="0" fontId="50" fillId="20" borderId="66" applyNumberFormat="0" applyAlignment="0" applyProtection="0"/>
    <xf numFmtId="0" fontId="2" fillId="0" borderId="0"/>
    <xf numFmtId="0" fontId="2" fillId="0" borderId="0"/>
    <xf numFmtId="0" fontId="5" fillId="23" borderId="63" applyNumberFormat="0" applyFont="0" applyAlignment="0" applyProtection="0"/>
    <xf numFmtId="0" fontId="5" fillId="23" borderId="63" applyNumberFormat="0" applyFont="0" applyAlignment="0" applyProtection="0"/>
    <xf numFmtId="0" fontId="5" fillId="23" borderId="67" applyNumberFormat="0" applyFont="0" applyAlignment="0" applyProtection="0"/>
    <xf numFmtId="0" fontId="60" fillId="20" borderId="68" applyNumberFormat="0" applyAlignment="0" applyProtection="0"/>
    <xf numFmtId="0" fontId="60" fillId="20" borderId="68" applyNumberFormat="0" applyAlignment="0" applyProtection="0"/>
    <xf numFmtId="172" fontId="8" fillId="0" borderId="65" applyFill="0"/>
    <xf numFmtId="172" fontId="6" fillId="0" borderId="57" applyFill="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23" borderId="67" applyNumberFormat="0" applyFont="0" applyAlignment="0" applyProtection="0"/>
    <xf numFmtId="43" fontId="2" fillId="0" borderId="0" applyFont="0" applyFill="0" applyBorder="0" applyAlignment="0" applyProtection="0"/>
    <xf numFmtId="0" fontId="11" fillId="0" borderId="64" applyNumberFormat="0" applyFont="0" applyBorder="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72" fontId="8" fillId="0" borderId="70" applyFill="0"/>
    <xf numFmtId="0" fontId="60" fillId="20" borderId="73" applyNumberFormat="0" applyAlignment="0" applyProtection="0"/>
    <xf numFmtId="0" fontId="60" fillId="20" borderId="73" applyNumberFormat="0" applyAlignment="0" applyProtection="0"/>
    <xf numFmtId="0" fontId="5" fillId="23" borderId="72" applyNumberFormat="0" applyFont="0" applyAlignment="0" applyProtection="0"/>
    <xf numFmtId="0" fontId="5" fillId="23" borderId="72" applyNumberFormat="0" applyFont="0" applyAlignment="0" applyProtection="0"/>
    <xf numFmtId="0" fontId="50" fillId="20" borderId="71" applyNumberFormat="0" applyAlignment="0" applyProtection="0"/>
    <xf numFmtId="0" fontId="50" fillId="20" borderId="7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7" borderId="71" applyNumberFormat="0" applyAlignment="0" applyProtection="0"/>
    <xf numFmtId="0" fontId="57" fillId="7" borderId="71" applyNumberFormat="0" applyAlignment="0" applyProtection="0"/>
    <xf numFmtId="0" fontId="57" fillId="7" borderId="71" applyNumberFormat="0" applyAlignment="0" applyProtection="0"/>
    <xf numFmtId="0" fontId="57" fillId="7" borderId="71" applyNumberFormat="0" applyAlignment="0" applyProtection="0"/>
    <xf numFmtId="0" fontId="1" fillId="0" borderId="0"/>
    <xf numFmtId="0" fontId="1" fillId="0" borderId="0"/>
    <xf numFmtId="0" fontId="50" fillId="20" borderId="71" applyNumberFormat="0" applyAlignment="0" applyProtection="0"/>
    <xf numFmtId="0" fontId="1" fillId="0" borderId="0"/>
    <xf numFmtId="0" fontId="50" fillId="20" borderId="71" applyNumberFormat="0" applyAlignment="0" applyProtection="0"/>
    <xf numFmtId="0" fontId="1" fillId="0" borderId="0"/>
    <xf numFmtId="0" fontId="1" fillId="0" borderId="0"/>
    <xf numFmtId="0" fontId="5" fillId="23" borderId="67" applyNumberFormat="0" applyFont="0" applyAlignment="0" applyProtection="0"/>
    <xf numFmtId="0" fontId="5" fillId="23" borderId="67" applyNumberFormat="0" applyFont="0" applyAlignment="0" applyProtection="0"/>
    <xf numFmtId="0" fontId="5" fillId="23" borderId="72" applyNumberFormat="0" applyFont="0" applyAlignment="0" applyProtection="0"/>
    <xf numFmtId="0" fontId="60" fillId="20" borderId="73" applyNumberFormat="0" applyAlignment="0" applyProtection="0"/>
    <xf numFmtId="0" fontId="60" fillId="20" borderId="73" applyNumberFormat="0" applyAlignment="0" applyProtection="0"/>
    <xf numFmtId="172" fontId="8" fillId="0" borderId="70" applyFill="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23" borderId="72" applyNumberFormat="0" applyFont="0" applyAlignment="0" applyProtection="0"/>
    <xf numFmtId="43" fontId="1" fillId="0" borderId="0" applyFont="0" applyFill="0" applyBorder="0" applyAlignment="0" applyProtection="0"/>
    <xf numFmtId="0" fontId="11" fillId="0" borderId="69" applyNumberFormat="0" applyFont="0" applyBorder="0">
      <alignment horizontal="right"/>
    </xf>
    <xf numFmtId="0" fontId="4" fillId="0" borderId="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0" fontId="4" fillId="0" borderId="0"/>
    <xf numFmtId="3" fontId="4" fillId="0" borderId="0"/>
    <xf numFmtId="0" fontId="4" fillId="0" borderId="0"/>
    <xf numFmtId="0" fontId="4"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0" fontId="1" fillId="0" borderId="0"/>
    <xf numFmtId="9" fontId="171" fillId="0" borderId="0" applyFont="0" applyFill="0" applyBorder="0" applyAlignment="0" applyProtection="0"/>
    <xf numFmtId="43" fontId="1" fillId="0" borderId="0" applyFont="0" applyFill="0" applyBorder="0" applyAlignment="0" applyProtection="0"/>
    <xf numFmtId="43" fontId="171" fillId="0" borderId="0" applyFont="0" applyFill="0" applyBorder="0" applyAlignment="0" applyProtection="0"/>
    <xf numFmtId="44" fontId="17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172" fontId="171" fillId="0" borderId="0" applyProtection="0"/>
    <xf numFmtId="43" fontId="1" fillId="0" borderId="0" applyFont="0" applyFill="0" applyBorder="0" applyAlignment="0" applyProtection="0"/>
    <xf numFmtId="0" fontId="4" fillId="0" borderId="0"/>
  </cellStyleXfs>
  <cellXfs count="1600">
    <xf numFmtId="0" fontId="0" fillId="0" borderId="0" xfId="0"/>
    <xf numFmtId="0" fontId="0" fillId="0" borderId="0" xfId="0" applyAlignment="1">
      <alignment horizontal="center"/>
    </xf>
    <xf numFmtId="0" fontId="7" fillId="0" borderId="0" xfId="0" applyFont="1"/>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49" applyFont="1" applyFill="1" applyAlignment="1">
      <alignment horizontal="center"/>
    </xf>
    <xf numFmtId="0" fontId="17" fillId="0" borderId="0" xfId="249" applyFont="1" applyFill="1"/>
    <xf numFmtId="9" fontId="11" fillId="0" borderId="0" xfId="249" quotePrefix="1" applyNumberFormat="1" applyFont="1" applyFill="1" applyAlignment="1">
      <alignment horizontal="center"/>
    </xf>
    <xf numFmtId="0" fontId="19" fillId="0" borderId="0" xfId="249" applyFont="1" applyAlignment="1">
      <alignment horizontal="right"/>
    </xf>
    <xf numFmtId="0" fontId="19" fillId="0" borderId="0" xfId="249" applyFont="1" applyAlignment="1">
      <alignment horizontal="center"/>
    </xf>
    <xf numFmtId="0" fontId="19" fillId="0" borderId="0" xfId="249" applyFont="1" applyFill="1" applyAlignment="1">
      <alignment horizontal="center"/>
    </xf>
    <xf numFmtId="9" fontId="11" fillId="0" borderId="0" xfId="249"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17" fillId="0" borderId="0" xfId="0" applyFont="1" applyFill="1"/>
    <xf numFmtId="0" fontId="20" fillId="0" borderId="0" xfId="0" applyFont="1"/>
    <xf numFmtId="0" fontId="6" fillId="0" borderId="0" xfId="0" applyFont="1" applyAlignment="1">
      <alignment wrapText="1"/>
    </xf>
    <xf numFmtId="0" fontId="14" fillId="0" borderId="0" xfId="249" applyFont="1" applyFill="1"/>
    <xf numFmtId="41" fontId="14" fillId="0" borderId="0" xfId="249" applyNumberFormat="1" applyFont="1" applyFill="1"/>
    <xf numFmtId="0" fontId="17" fillId="0" borderId="0" xfId="249" applyFont="1" applyFill="1" applyAlignment="1">
      <alignment horizontal="left"/>
    </xf>
    <xf numFmtId="3" fontId="14" fillId="0" borderId="0" xfId="0" applyNumberFormat="1" applyFont="1" applyFill="1"/>
    <xf numFmtId="0" fontId="7" fillId="0" borderId="0" xfId="249" applyFont="1" applyFill="1" applyAlignment="1">
      <alignment horizontal="right"/>
    </xf>
    <xf numFmtId="40" fontId="14" fillId="0" borderId="0" xfId="0" applyNumberFormat="1" applyFont="1" applyFill="1"/>
    <xf numFmtId="0" fontId="14" fillId="0" borderId="0" xfId="249" applyFont="1"/>
    <xf numFmtId="0" fontId="7" fillId="0" borderId="0" xfId="249" applyFont="1" applyFill="1"/>
    <xf numFmtId="0" fontId="11" fillId="0" borderId="0" xfId="249" applyFont="1" applyFill="1" applyBorder="1" applyAlignment="1">
      <alignment horizontal="left"/>
    </xf>
    <xf numFmtId="0" fontId="11" fillId="0" borderId="0" xfId="249" applyFont="1" applyFill="1" applyBorder="1"/>
    <xf numFmtId="0" fontId="14" fillId="0" borderId="0" xfId="249" applyFont="1" applyAlignment="1">
      <alignment horizontal="left"/>
    </xf>
    <xf numFmtId="0" fontId="8" fillId="0" borderId="0" xfId="249"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49" applyNumberFormat="1" applyFont="1" applyFill="1" applyBorder="1"/>
    <xf numFmtId="0" fontId="30" fillId="0" borderId="0" xfId="249" applyFont="1" applyFill="1" applyAlignment="1">
      <alignment horizontal="left"/>
    </xf>
    <xf numFmtId="0" fontId="28" fillId="0" borderId="0" xfId="249" applyFont="1" applyFill="1"/>
    <xf numFmtId="41" fontId="28" fillId="0" borderId="0" xfId="249" applyNumberFormat="1" applyFont="1" applyFill="1" applyBorder="1" applyAlignment="1">
      <alignment vertical="top"/>
    </xf>
    <xf numFmtId="181" fontId="28" fillId="0" borderId="0" xfId="249" applyNumberFormat="1" applyFont="1" applyFill="1"/>
    <xf numFmtId="41" fontId="28" fillId="0" borderId="0" xfId="249" applyNumberFormat="1" applyFont="1" applyFill="1" applyBorder="1"/>
    <xf numFmtId="0" fontId="28" fillId="0" borderId="0" xfId="249" applyFont="1" applyFill="1" applyAlignment="1">
      <alignment horizontal="left"/>
    </xf>
    <xf numFmtId="0" fontId="31" fillId="0" borderId="0" xfId="249" applyFont="1" applyFill="1" applyBorder="1"/>
    <xf numFmtId="0" fontId="28" fillId="0" borderId="0" xfId="249" applyFont="1" applyFill="1" applyAlignment="1">
      <alignment horizontal="center"/>
    </xf>
    <xf numFmtId="0" fontId="12" fillId="0" borderId="0" xfId="249" applyFont="1" applyFill="1" applyAlignment="1">
      <alignment horizontal="center"/>
    </xf>
    <xf numFmtId="173" fontId="28" fillId="0" borderId="0" xfId="249" applyNumberFormat="1" applyFont="1" applyFill="1"/>
    <xf numFmtId="173" fontId="28" fillId="0" borderId="0" xfId="249" applyNumberFormat="1" applyFont="1" applyFill="1" applyBorder="1" applyAlignment="1">
      <alignment vertical="top"/>
    </xf>
    <xf numFmtId="41" fontId="28" fillId="0" borderId="13" xfId="249" applyNumberFormat="1" applyFont="1" applyFill="1" applyBorder="1"/>
    <xf numFmtId="173" fontId="8" fillId="0" borderId="0" xfId="86" applyNumberFormat="1" applyFont="1" applyFill="1" applyAlignment="1">
      <alignment horizontal="center"/>
    </xf>
    <xf numFmtId="0" fontId="7" fillId="0" borderId="0" xfId="249" applyFont="1" applyFill="1" applyAlignment="1">
      <alignment horizontal="center"/>
    </xf>
    <xf numFmtId="0" fontId="32" fillId="0" borderId="0" xfId="249" applyFont="1" applyFill="1" applyBorder="1"/>
    <xf numFmtId="0" fontId="12" fillId="0" borderId="0" xfId="249" applyFont="1" applyAlignment="1">
      <alignment horizontal="center"/>
    </xf>
    <xf numFmtId="41" fontId="7" fillId="0" borderId="13" xfId="249"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49" applyNumberFormat="1" applyFont="1" applyFill="1"/>
    <xf numFmtId="3" fontId="7" fillId="0" borderId="0" xfId="0" applyNumberFormat="1" applyFont="1" applyFill="1" applyAlignment="1"/>
    <xf numFmtId="41" fontId="29" fillId="25" borderId="0" xfId="249" applyNumberFormat="1" applyFont="1" applyFill="1" applyBorder="1"/>
    <xf numFmtId="0" fontId="9" fillId="0" borderId="0" xfId="211" applyFont="1" applyFill="1" applyBorder="1" applyAlignment="1">
      <alignment horizontal="left"/>
    </xf>
    <xf numFmtId="0" fontId="14" fillId="0" borderId="0" xfId="211" applyFont="1" applyBorder="1" applyAlignment="1"/>
    <xf numFmtId="0" fontId="14" fillId="0" borderId="0" xfId="211" applyFont="1" applyBorder="1" applyAlignment="1">
      <alignment horizontal="center"/>
    </xf>
    <xf numFmtId="0" fontId="14" fillId="0" borderId="0" xfId="211" applyFont="1" applyBorder="1"/>
    <xf numFmtId="0" fontId="14" fillId="0" borderId="0" xfId="211" applyNumberFormat="1" applyFont="1" applyFill="1" applyBorder="1" applyAlignment="1">
      <alignment horizontal="left"/>
    </xf>
    <xf numFmtId="0" fontId="11" fillId="0" borderId="0" xfId="211" applyNumberFormat="1" applyFont="1" applyFill="1" applyBorder="1" applyAlignment="1">
      <alignment horizontal="left"/>
    </xf>
    <xf numFmtId="0" fontId="14" fillId="0" borderId="0" xfId="211" applyFont="1" applyFill="1" applyBorder="1" applyAlignment="1">
      <alignment horizontal="center" wrapText="1"/>
    </xf>
    <xf numFmtId="3" fontId="14" fillId="0" borderId="0" xfId="211" applyNumberFormat="1" applyFont="1" applyFill="1" applyBorder="1" applyAlignment="1"/>
    <xf numFmtId="0" fontId="14" fillId="0" borderId="0" xfId="211" applyFont="1" applyFill="1" applyBorder="1" applyAlignment="1"/>
    <xf numFmtId="0" fontId="14" fillId="0" borderId="0" xfId="211"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11" applyFont="1" applyFill="1" applyBorder="1" applyAlignment="1"/>
    <xf numFmtId="0" fontId="14" fillId="0" borderId="0" xfId="211" applyFont="1" applyFill="1" applyBorder="1"/>
    <xf numFmtId="0" fontId="11" fillId="0" borderId="0" xfId="211" applyFont="1" applyBorder="1" applyAlignment="1"/>
    <xf numFmtId="0" fontId="11" fillId="0" borderId="0" xfId="211" applyNumberFormat="1" applyFont="1" applyFill="1" applyBorder="1" applyAlignment="1">
      <alignment horizontal="center"/>
    </xf>
    <xf numFmtId="164" fontId="14" fillId="0" borderId="0" xfId="268" applyNumberFormat="1" applyFont="1" applyFill="1" applyBorder="1" applyAlignment="1"/>
    <xf numFmtId="173" fontId="14" fillId="0" borderId="0" xfId="89" applyNumberFormat="1" applyFont="1" applyFill="1" applyBorder="1" applyAlignment="1">
      <alignment horizontal="left"/>
    </xf>
    <xf numFmtId="0" fontId="14" fillId="0" borderId="0" xfId="211" applyFont="1" applyFill="1" applyBorder="1" applyAlignment="1">
      <alignment horizontal="center"/>
    </xf>
    <xf numFmtId="3" fontId="14" fillId="0" borderId="0" xfId="211" applyNumberFormat="1" applyFont="1" applyFill="1" applyBorder="1" applyAlignment="1">
      <alignment horizontal="right"/>
    </xf>
    <xf numFmtId="3" fontId="14" fillId="0" borderId="0" xfId="211"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49" applyFont="1" applyFill="1"/>
    <xf numFmtId="0" fontId="19" fillId="0" borderId="0" xfId="211" applyFont="1" applyFill="1" applyBorder="1" applyAlignment="1">
      <alignment horizontal="left"/>
    </xf>
    <xf numFmtId="0" fontId="11" fillId="0" borderId="0" xfId="211" applyFont="1" applyFill="1" applyBorder="1" applyAlignment="1">
      <alignment horizontal="left"/>
    </xf>
    <xf numFmtId="0" fontId="11" fillId="0" borderId="0" xfId="211" applyFont="1" applyFill="1" applyBorder="1" applyAlignment="1">
      <alignment horizontal="center"/>
    </xf>
    <xf numFmtId="173" fontId="14" fillId="0" borderId="14" xfId="89" applyNumberFormat="1" applyFont="1" applyFill="1" applyBorder="1" applyAlignment="1">
      <alignment horizontal="right"/>
    </xf>
    <xf numFmtId="0" fontId="11" fillId="0" borderId="0" xfId="211" applyFont="1" applyBorder="1" applyAlignment="1">
      <alignment horizontal="center"/>
    </xf>
    <xf numFmtId="0" fontId="14" fillId="0" borderId="0" xfId="249" applyFont="1" applyAlignment="1">
      <alignment horizontal="center"/>
    </xf>
    <xf numFmtId="0" fontId="7" fillId="0" borderId="0" xfId="211" applyFont="1" applyBorder="1" applyAlignment="1">
      <alignment horizontal="center"/>
    </xf>
    <xf numFmtId="49" fontId="7" fillId="0" borderId="0" xfId="249" applyNumberFormat="1" applyFont="1" applyAlignment="1">
      <alignment horizontal="center"/>
    </xf>
    <xf numFmtId="0" fontId="0" fillId="0" borderId="0" xfId="0" applyAlignment="1">
      <alignment horizontal="right"/>
    </xf>
    <xf numFmtId="0" fontId="11" fillId="0" borderId="0" xfId="211" applyFont="1" applyBorder="1"/>
    <xf numFmtId="3" fontId="12" fillId="0" borderId="0" xfId="0" applyNumberFormat="1" applyFont="1" applyFill="1" applyAlignment="1">
      <alignment horizontal="center"/>
    </xf>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0" fontId="0" fillId="0" borderId="0" xfId="0" applyNumberFormat="1"/>
    <xf numFmtId="185" fontId="20" fillId="0" borderId="0" xfId="258" applyNumberFormat="1" applyFont="1"/>
    <xf numFmtId="0" fontId="73" fillId="0" borderId="0" xfId="258" applyFont="1"/>
    <xf numFmtId="185" fontId="20" fillId="0" borderId="0" xfId="258" applyNumberFormat="1" applyFont="1" applyAlignment="1">
      <alignment horizontal="center"/>
    </xf>
    <xf numFmtId="0" fontId="14" fillId="0" borderId="0" xfId="258" applyFont="1"/>
    <xf numFmtId="0" fontId="20" fillId="0" borderId="0" xfId="258" applyFont="1"/>
    <xf numFmtId="0" fontId="20" fillId="0" borderId="0" xfId="258" applyNumberFormat="1" applyFont="1" applyAlignment="1">
      <alignment horizontal="center"/>
    </xf>
    <xf numFmtId="0" fontId="20" fillId="0" borderId="0" xfId="258" applyNumberFormat="1" applyFont="1"/>
    <xf numFmtId="0" fontId="20" fillId="0" borderId="0" xfId="258" applyNumberFormat="1" applyFont="1" applyBorder="1" applyAlignment="1">
      <alignment horizontal="center"/>
    </xf>
    <xf numFmtId="185" fontId="74" fillId="0" borderId="0" xfId="258" applyNumberFormat="1" applyFont="1"/>
    <xf numFmtId="0" fontId="75" fillId="0" borderId="0" xfId="258" applyFont="1"/>
    <xf numFmtId="173" fontId="73" fillId="0" borderId="0" xfId="258" applyNumberFormat="1" applyFont="1"/>
    <xf numFmtId="0" fontId="76" fillId="0" borderId="0" xfId="258" applyFont="1"/>
    <xf numFmtId="185" fontId="14" fillId="0" borderId="0" xfId="258" applyNumberFormat="1" applyFont="1"/>
    <xf numFmtId="0" fontId="77" fillId="0" borderId="0" xfId="255" applyFont="1" applyFill="1" applyAlignment="1">
      <alignment horizontal="center"/>
    </xf>
    <xf numFmtId="0" fontId="77" fillId="0" borderId="0" xfId="255" applyFont="1" applyFill="1" applyAlignment="1">
      <alignment horizontal="left" indent="2"/>
    </xf>
    <xf numFmtId="39" fontId="77" fillId="0" borderId="0" xfId="255" applyNumberFormat="1" applyFont="1" applyFill="1"/>
    <xf numFmtId="0" fontId="73" fillId="0" borderId="0" xfId="258" applyFont="1" applyFill="1"/>
    <xf numFmtId="0" fontId="14" fillId="0" borderId="0" xfId="258" applyNumberFormat="1" applyFont="1" applyAlignment="1">
      <alignment horizontal="center"/>
    </xf>
    <xf numFmtId="0" fontId="14" fillId="0" borderId="0" xfId="258" applyNumberFormat="1" applyFont="1"/>
    <xf numFmtId="43" fontId="73" fillId="0" borderId="0" xfId="86" applyFont="1"/>
    <xf numFmtId="173" fontId="78" fillId="0" borderId="0" xfId="258" applyNumberFormat="1" applyFont="1"/>
    <xf numFmtId="185" fontId="7" fillId="0" borderId="0" xfId="258" applyNumberFormat="1" applyFont="1"/>
    <xf numFmtId="43" fontId="78" fillId="0" borderId="0" xfId="86" applyFont="1"/>
    <xf numFmtId="43" fontId="7" fillId="0" borderId="0" xfId="86" applyFont="1"/>
    <xf numFmtId="173" fontId="78" fillId="0" borderId="0" xfId="86" applyNumberFormat="1" applyFont="1"/>
    <xf numFmtId="173" fontId="7" fillId="0" borderId="0" xfId="86" applyNumberFormat="1" applyFont="1"/>
    <xf numFmtId="173" fontId="73" fillId="0" borderId="14" xfId="86" applyNumberFormat="1" applyFont="1" applyBorder="1"/>
    <xf numFmtId="0" fontId="73" fillId="0" borderId="0" xfId="0" applyFont="1"/>
    <xf numFmtId="173" fontId="73" fillId="0" borderId="0" xfId="258" applyNumberFormat="1" applyFont="1" applyBorder="1"/>
    <xf numFmtId="10" fontId="7" fillId="0" borderId="14" xfId="0" applyNumberFormat="1" applyFont="1" applyFill="1" applyBorder="1" applyAlignment="1"/>
    <xf numFmtId="0" fontId="81" fillId="0" borderId="0" xfId="258" applyFont="1" applyAlignment="1">
      <alignment horizontal="center"/>
    </xf>
    <xf numFmtId="173" fontId="0" fillId="0" borderId="0" xfId="86" applyNumberFormat="1" applyFont="1" applyFill="1"/>
    <xf numFmtId="173" fontId="0" fillId="0" borderId="0" xfId="0" applyNumberFormat="1"/>
    <xf numFmtId="41" fontId="14" fillId="0" borderId="0" xfId="249" applyNumberFormat="1" applyFont="1"/>
    <xf numFmtId="0" fontId="11" fillId="0" borderId="0" xfId="249" applyFont="1" applyAlignment="1">
      <alignment horizontal="center" wrapText="1"/>
    </xf>
    <xf numFmtId="38" fontId="14" fillId="0" borderId="0" xfId="0" applyNumberFormat="1" applyFont="1" applyFill="1" applyBorder="1" applyAlignment="1">
      <alignment horizontal="center"/>
    </xf>
    <xf numFmtId="0" fontId="4" fillId="0" borderId="0" xfId="249" applyFill="1" applyAlignment="1">
      <alignment horizontal="left"/>
    </xf>
    <xf numFmtId="0" fontId="82" fillId="0" borderId="0" xfId="249" applyFont="1" applyFill="1" applyBorder="1" applyAlignment="1">
      <alignment horizontal="left"/>
    </xf>
    <xf numFmtId="0" fontId="4" fillId="0" borderId="0" xfId="249" applyFill="1"/>
    <xf numFmtId="0" fontId="82" fillId="0" borderId="0" xfId="249" applyFont="1" applyFill="1" applyBorder="1"/>
    <xf numFmtId="0" fontId="71" fillId="0" borderId="0" xfId="249" applyFont="1" applyFill="1" applyAlignment="1">
      <alignment horizontal="center"/>
    </xf>
    <xf numFmtId="38" fontId="14" fillId="0" borderId="0" xfId="0" applyNumberFormat="1" applyFont="1" applyFill="1" applyBorder="1"/>
    <xf numFmtId="0" fontId="83" fillId="0" borderId="0" xfId="211" applyNumberFormat="1" applyFont="1" applyFill="1" applyBorder="1" applyAlignment="1">
      <alignment horizontal="left"/>
    </xf>
    <xf numFmtId="38" fontId="14" fillId="0" borderId="0" xfId="211" applyNumberFormat="1" applyFont="1" applyFill="1" applyBorder="1" applyAlignment="1">
      <alignment horizontal="right"/>
    </xf>
    <xf numFmtId="0" fontId="14" fillId="0" borderId="0" xfId="211"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11" applyFont="1" applyBorder="1" applyAlignment="1">
      <alignment horizontal="center"/>
    </xf>
    <xf numFmtId="38" fontId="10" fillId="0" borderId="0" xfId="211" applyNumberFormat="1" applyFont="1" applyFill="1" applyBorder="1" applyAlignment="1"/>
    <xf numFmtId="173" fontId="10" fillId="0" borderId="14" xfId="86" applyNumberFormat="1" applyFont="1" applyFill="1" applyBorder="1" applyAlignment="1"/>
    <xf numFmtId="0" fontId="14" fillId="0" borderId="14" xfId="211" applyNumberFormat="1" applyFont="1" applyFill="1" applyBorder="1" applyAlignment="1">
      <alignment horizontal="left"/>
    </xf>
    <xf numFmtId="0" fontId="20" fillId="0" borderId="0" xfId="258" applyNumberFormat="1" applyFont="1" applyFill="1" applyAlignment="1">
      <alignment horizontal="center"/>
    </xf>
    <xf numFmtId="0" fontId="14" fillId="0" borderId="0" xfId="258" applyNumberFormat="1" applyFont="1" applyFill="1"/>
    <xf numFmtId="41" fontId="73" fillId="0" borderId="0" xfId="258" applyNumberFormat="1" applyFont="1" applyFill="1"/>
    <xf numFmtId="41" fontId="73" fillId="0" borderId="0" xfId="258" applyNumberFormat="1" applyFont="1" applyFill="1" applyBorder="1"/>
    <xf numFmtId="173" fontId="73" fillId="0" borderId="0" xfId="258" applyNumberFormat="1" applyFont="1" applyFill="1"/>
    <xf numFmtId="10" fontId="73" fillId="0" borderId="11" xfId="266" applyNumberFormat="1" applyFont="1" applyFill="1" applyBorder="1"/>
    <xf numFmtId="173" fontId="73" fillId="0" borderId="0" xfId="86" applyNumberFormat="1" applyFont="1" applyFill="1"/>
    <xf numFmtId="3" fontId="6" fillId="0" borderId="0" xfId="0" applyNumberFormat="1" applyFont="1" applyAlignment="1">
      <alignment horizontal="center"/>
    </xf>
    <xf numFmtId="10" fontId="14" fillId="0" borderId="0" xfId="266"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66" applyNumberFormat="1" applyFont="1"/>
    <xf numFmtId="174" fontId="4" fillId="0" borderId="0" xfId="117" applyNumberFormat="1"/>
    <xf numFmtId="0" fontId="6" fillId="0" borderId="0" xfId="0" applyFont="1" applyAlignment="1">
      <alignment horizontal="right"/>
    </xf>
    <xf numFmtId="0" fontId="14" fillId="0" borderId="0" xfId="0" applyFont="1" applyAlignment="1">
      <alignment horizontal="centerContinuous"/>
    </xf>
    <xf numFmtId="0" fontId="19" fillId="0" borderId="0" xfId="0" applyFont="1" applyAlignment="1">
      <alignment horizontal="center"/>
    </xf>
    <xf numFmtId="0" fontId="11"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9"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7" fillId="0" borderId="0" xfId="249" applyFont="1"/>
    <xf numFmtId="0" fontId="4" fillId="0" borderId="0" xfId="249" applyAlignment="1">
      <alignment horizontal="left"/>
    </xf>
    <xf numFmtId="0" fontId="4" fillId="0" borderId="0" xfId="249"/>
    <xf numFmtId="0" fontId="17" fillId="0" borderId="0" xfId="249" applyFont="1" applyAlignment="1">
      <alignment horizontal="left"/>
    </xf>
    <xf numFmtId="173" fontId="14" fillId="0" borderId="0" xfId="211" applyNumberFormat="1" applyFont="1" applyFill="1" applyBorder="1"/>
    <xf numFmtId="0" fontId="14" fillId="25" borderId="0" xfId="211" applyNumberFormat="1" applyFont="1" applyFill="1" applyBorder="1" applyAlignment="1">
      <alignment horizontal="center"/>
    </xf>
    <xf numFmtId="0" fontId="11" fillId="25" borderId="0" xfId="211" applyNumberFormat="1" applyFont="1" applyFill="1" applyBorder="1" applyAlignment="1">
      <alignment horizontal="left"/>
    </xf>
    <xf numFmtId="0" fontId="10" fillId="25" borderId="0" xfId="211" applyFont="1" applyFill="1" applyBorder="1" applyAlignment="1"/>
    <xf numFmtId="0" fontId="14" fillId="25" borderId="0" xfId="211" applyNumberFormat="1" applyFont="1" applyFill="1" applyBorder="1" applyAlignment="1">
      <alignment horizontal="left"/>
    </xf>
    <xf numFmtId="0" fontId="14" fillId="25" borderId="0" xfId="211"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68" applyNumberFormat="1" applyFont="1" applyFill="1" applyBorder="1" applyAlignment="1"/>
    <xf numFmtId="173" fontId="14" fillId="25" borderId="0" xfId="89" applyNumberFormat="1" applyFont="1" applyFill="1" applyBorder="1" applyAlignment="1">
      <alignment horizontal="left"/>
    </xf>
    <xf numFmtId="0" fontId="17" fillId="0" borderId="0" xfId="249" applyFont="1" applyAlignment="1"/>
    <xf numFmtId="0" fontId="15" fillId="0" borderId="0" xfId="0" applyFont="1" applyBorder="1"/>
    <xf numFmtId="0" fontId="19" fillId="0" borderId="0" xfId="211" applyFont="1" applyFill="1" applyBorder="1" applyAlignment="1">
      <alignment horizontal="center"/>
    </xf>
    <xf numFmtId="0" fontId="15" fillId="0" borderId="0" xfId="211"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49" applyFont="1" applyFill="1"/>
    <xf numFmtId="0" fontId="85" fillId="0" borderId="0" xfId="249" applyFont="1" applyFill="1"/>
    <xf numFmtId="9" fontId="12" fillId="0" borderId="0" xfId="249" quotePrefix="1" applyNumberFormat="1" applyFont="1" applyFill="1" applyAlignment="1">
      <alignment horizontal="center"/>
    </xf>
    <xf numFmtId="0" fontId="6" fillId="0" borderId="0" xfId="258" applyNumberFormat="1" applyFont="1" applyAlignment="1">
      <alignment horizontal="center"/>
    </xf>
    <xf numFmtId="0" fontId="6" fillId="0" borderId="0" xfId="258" applyNumberFormat="1" applyFont="1"/>
    <xf numFmtId="185" fontId="6" fillId="0" borderId="0" xfId="258" applyNumberFormat="1" applyFont="1" applyAlignment="1">
      <alignment horizontal="center"/>
    </xf>
    <xf numFmtId="0" fontId="11" fillId="0" borderId="0" xfId="258" applyFont="1"/>
    <xf numFmtId="0" fontId="6" fillId="0" borderId="11" xfId="258" applyNumberFormat="1" applyFont="1" applyBorder="1" applyAlignment="1">
      <alignment horizontal="center"/>
    </xf>
    <xf numFmtId="185" fontId="6" fillId="0" borderId="11" xfId="258" applyNumberFormat="1" applyFont="1" applyBorder="1" applyAlignment="1">
      <alignment horizontal="center"/>
    </xf>
    <xf numFmtId="0" fontId="76" fillId="0" borderId="11" xfId="258" applyFont="1" applyBorder="1" applyAlignment="1">
      <alignment horizontal="center"/>
    </xf>
    <xf numFmtId="0" fontId="11" fillId="0" borderId="0" xfId="258" applyFont="1" applyAlignment="1">
      <alignment horizontal="center"/>
    </xf>
    <xf numFmtId="0" fontId="86" fillId="0" borderId="0" xfId="258" applyFont="1" applyFill="1"/>
    <xf numFmtId="6" fontId="14" fillId="0" borderId="0" xfId="0" applyNumberFormat="1" applyFont="1" applyAlignment="1">
      <alignment horizontal="right"/>
    </xf>
    <xf numFmtId="0" fontId="11" fillId="0" borderId="0" xfId="0" applyFont="1" applyAlignment="1">
      <alignment horizontal="left"/>
    </xf>
    <xf numFmtId="173" fontId="88" fillId="0" borderId="0" xfId="86" applyNumberFormat="1" applyFont="1" applyFill="1"/>
    <xf numFmtId="173" fontId="73" fillId="0" borderId="0" xfId="86" applyNumberFormat="1" applyFont="1" applyFill="1" applyBorder="1"/>
    <xf numFmtId="9" fontId="73" fillId="0" borderId="0" xfId="266" applyFont="1" applyFill="1"/>
    <xf numFmtId="41" fontId="89" fillId="26" borderId="0" xfId="258" applyNumberFormat="1" applyFont="1" applyFill="1"/>
    <xf numFmtId="41" fontId="89" fillId="26" borderId="0" xfId="258" applyNumberFormat="1" applyFont="1" applyFill="1" applyBorder="1"/>
    <xf numFmtId="10" fontId="73" fillId="0" borderId="0" xfId="266" applyNumberFormat="1" applyFont="1" applyFill="1"/>
    <xf numFmtId="10" fontId="73" fillId="0" borderId="0" xfId="266" applyNumberFormat="1" applyFont="1" applyFill="1" applyBorder="1"/>
    <xf numFmtId="0" fontId="93" fillId="0" borderId="0" xfId="0" applyFont="1" applyBorder="1" applyAlignment="1">
      <alignment horizontal="center"/>
    </xf>
    <xf numFmtId="0" fontId="92" fillId="0" borderId="0" xfId="249" applyFont="1" applyFill="1" applyAlignment="1">
      <alignment horizontal="center"/>
    </xf>
    <xf numFmtId="164" fontId="73" fillId="0" borderId="0" xfId="266" applyNumberFormat="1" applyFont="1" applyFill="1"/>
    <xf numFmtId="0" fontId="7" fillId="0" borderId="0" xfId="258" applyFont="1"/>
    <xf numFmtId="173" fontId="7" fillId="0" borderId="0" xfId="258" applyNumberFormat="1" applyFont="1"/>
    <xf numFmtId="164" fontId="0" fillId="0" borderId="0" xfId="266" applyNumberFormat="1" applyFont="1"/>
    <xf numFmtId="173" fontId="96" fillId="0" borderId="0" xfId="258" applyNumberFormat="1" applyFont="1" applyFill="1" applyBorder="1"/>
    <xf numFmtId="0" fontId="25" fillId="0" borderId="0" xfId="249" applyFont="1" applyFill="1" applyAlignment="1">
      <alignment horizontal="center"/>
    </xf>
    <xf numFmtId="37" fontId="14" fillId="0" borderId="0" xfId="211" applyNumberFormat="1" applyFont="1" applyFill="1" applyBorder="1" applyAlignment="1">
      <alignment horizontal="right"/>
    </xf>
    <xf numFmtId="37" fontId="10" fillId="0" borderId="0" xfId="211" applyNumberFormat="1" applyFont="1" applyFill="1" applyBorder="1" applyAlignment="1"/>
    <xf numFmtId="0" fontId="99" fillId="0" borderId="0" xfId="249"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66" applyFont="1"/>
    <xf numFmtId="0" fontId="101" fillId="0" borderId="0" xfId="0" applyFont="1" applyAlignment="1">
      <alignment horizontal="center" wrapText="1"/>
    </xf>
    <xf numFmtId="0" fontId="20" fillId="0" borderId="0" xfId="255" applyFont="1" applyFill="1" applyAlignment="1">
      <alignment horizontal="center"/>
    </xf>
    <xf numFmtId="0" fontId="34" fillId="0" borderId="0" xfId="249" applyFont="1" applyFill="1" applyAlignment="1">
      <alignment horizontal="left"/>
    </xf>
    <xf numFmtId="0" fontId="34" fillId="0" borderId="0" xfId="249" applyFont="1" applyFill="1"/>
    <xf numFmtId="0" fontId="103" fillId="0" borderId="0" xfId="249" applyFont="1" applyFill="1" applyAlignment="1">
      <alignment horizontal="center"/>
    </xf>
    <xf numFmtId="0" fontId="104" fillId="0" borderId="0" xfId="249" applyFont="1" applyFill="1" applyBorder="1"/>
    <xf numFmtId="189" fontId="105" fillId="0" borderId="0" xfId="211"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11" applyNumberFormat="1" applyFont="1" applyBorder="1" applyAlignment="1">
      <alignment horizontal="center"/>
    </xf>
    <xf numFmtId="0" fontId="106" fillId="0" borderId="0" xfId="258" applyFont="1" applyFill="1"/>
    <xf numFmtId="41" fontId="106" fillId="0" borderId="0" xfId="258" applyNumberFormat="1" applyFont="1" applyFill="1"/>
    <xf numFmtId="41" fontId="106" fillId="0" borderId="0" xfId="258" applyNumberFormat="1" applyFont="1" applyFill="1" applyBorder="1"/>
    <xf numFmtId="0" fontId="0" fillId="0" borderId="0" xfId="0" applyFill="1" applyAlignment="1"/>
    <xf numFmtId="0" fontId="14" fillId="0" borderId="0" xfId="0" applyFont="1" applyFill="1" applyAlignment="1">
      <alignment horizontal="centerContinuous"/>
    </xf>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49" applyFont="1" applyFill="1" applyBorder="1" applyAlignment="1">
      <alignment horizontal="center"/>
    </xf>
    <xf numFmtId="0" fontId="7" fillId="0" borderId="0" xfId="0" applyFont="1" applyBorder="1" applyAlignment="1">
      <alignment horizontal="center"/>
    </xf>
    <xf numFmtId="0" fontId="6" fillId="0" borderId="0" xfId="258" applyNumberFormat="1" applyFont="1" applyBorder="1" applyAlignment="1">
      <alignment horizontal="center"/>
    </xf>
    <xf numFmtId="0" fontId="14" fillId="0" borderId="0" xfId="258" applyFont="1" applyBorder="1"/>
    <xf numFmtId="0" fontId="6" fillId="0" borderId="11" xfId="258" applyNumberFormat="1" applyFont="1" applyBorder="1"/>
    <xf numFmtId="185" fontId="6" fillId="0" borderId="0" xfId="258" applyNumberFormat="1" applyFont="1" applyBorder="1" applyAlignment="1">
      <alignment horizontal="center"/>
    </xf>
    <xf numFmtId="0" fontId="14" fillId="0" borderId="0" xfId="258" applyFont="1" applyFill="1"/>
    <xf numFmtId="0" fontId="73" fillId="0" borderId="0" xfId="258" applyFont="1" applyAlignment="1">
      <alignment horizontal="center"/>
    </xf>
    <xf numFmtId="173" fontId="80" fillId="0" borderId="0" xfId="258" applyNumberFormat="1" applyFont="1" applyFill="1" applyBorder="1"/>
    <xf numFmtId="0" fontId="20" fillId="0" borderId="0" xfId="258" applyFont="1" applyFill="1"/>
    <xf numFmtId="3" fontId="80" fillId="0" borderId="0" xfId="258" applyNumberFormat="1" applyFont="1" applyFill="1" applyBorder="1"/>
    <xf numFmtId="173" fontId="80" fillId="0" borderId="0" xfId="258" applyNumberFormat="1" applyFont="1" applyFill="1"/>
    <xf numFmtId="0" fontId="0" fillId="0" borderId="0" xfId="0" applyBorder="1" applyAlignment="1">
      <alignment horizontal="center"/>
    </xf>
    <xf numFmtId="0" fontId="73" fillId="0" borderId="0" xfId="258" applyFont="1" applyFill="1" applyBorder="1"/>
    <xf numFmtId="173" fontId="73" fillId="0" borderId="0" xfId="258" applyNumberFormat="1" applyFont="1" applyFill="1" applyBorder="1"/>
    <xf numFmtId="0" fontId="24" fillId="0" borderId="0" xfId="249" applyFont="1" applyFill="1" applyBorder="1"/>
    <xf numFmtId="38" fontId="28" fillId="0" borderId="13" xfId="249" applyNumberFormat="1" applyFont="1" applyFill="1" applyBorder="1" applyAlignment="1">
      <alignment horizontal="right"/>
    </xf>
    <xf numFmtId="0" fontId="34" fillId="0" borderId="0" xfId="249" applyFont="1" applyAlignment="1">
      <alignment horizontal="center"/>
    </xf>
    <xf numFmtId="0" fontId="77" fillId="0" borderId="0" xfId="258" applyNumberFormat="1" applyFont="1" applyFill="1"/>
    <xf numFmtId="10" fontId="5" fillId="0" borderId="0" xfId="259" applyNumberFormat="1" applyProtection="1"/>
    <xf numFmtId="10" fontId="5" fillId="0" borderId="15" xfId="259" applyNumberFormat="1" applyBorder="1" applyProtection="1"/>
    <xf numFmtId="193" fontId="5" fillId="0" borderId="15" xfId="259" applyNumberFormat="1" applyBorder="1" applyProtection="1"/>
    <xf numFmtId="176" fontId="5" fillId="0" borderId="15" xfId="259" applyNumberFormat="1" applyBorder="1" applyProtection="1"/>
    <xf numFmtId="192" fontId="5" fillId="0" borderId="15" xfId="259" applyNumberFormat="1" applyBorder="1" applyProtection="1"/>
    <xf numFmtId="195" fontId="5" fillId="0" borderId="0" xfId="259" applyNumberFormat="1" applyProtection="1"/>
    <xf numFmtId="176" fontId="5" fillId="0" borderId="0" xfId="259" applyNumberFormat="1" applyProtection="1"/>
    <xf numFmtId="192" fontId="5" fillId="0" borderId="0" xfId="259" applyNumberFormat="1" applyProtection="1"/>
    <xf numFmtId="10" fontId="119" fillId="0" borderId="0" xfId="259" applyNumberFormat="1" applyFont="1" applyProtection="1"/>
    <xf numFmtId="173" fontId="122" fillId="0" borderId="0" xfId="0" applyNumberFormat="1" applyFont="1"/>
    <xf numFmtId="0" fontId="109" fillId="0" borderId="0" xfId="211" applyFont="1" applyFill="1" applyBorder="1" applyAlignment="1">
      <alignment horizontal="center"/>
    </xf>
    <xf numFmtId="0" fontId="101" fillId="0" borderId="0" xfId="211" applyFont="1" applyFill="1" applyBorder="1" applyAlignment="1">
      <alignment horizontal="left"/>
    </xf>
    <xf numFmtId="0" fontId="34" fillId="0" borderId="0" xfId="211" applyNumberFormat="1" applyFont="1" applyFill="1" applyBorder="1" applyAlignment="1">
      <alignment horizontal="center"/>
    </xf>
    <xf numFmtId="0" fontId="34" fillId="0" borderId="0" xfId="211" applyNumberFormat="1" applyFont="1" applyFill="1" applyBorder="1" applyAlignment="1">
      <alignment horizontal="left"/>
    </xf>
    <xf numFmtId="0" fontId="34" fillId="0" borderId="0" xfId="211" applyFont="1" applyFill="1" applyBorder="1" applyAlignment="1"/>
    <xf numFmtId="0" fontId="34" fillId="0" borderId="0" xfId="211" applyFont="1" applyFill="1" applyBorder="1" applyAlignment="1">
      <alignment horizontal="center"/>
    </xf>
    <xf numFmtId="0" fontId="34" fillId="0" borderId="0" xfId="211" applyFont="1" applyBorder="1"/>
    <xf numFmtId="0" fontId="34" fillId="0" borderId="0" xfId="211" applyFont="1" applyFill="1" applyBorder="1"/>
    <xf numFmtId="3" fontId="34" fillId="0" borderId="0" xfId="211" applyNumberFormat="1" applyFont="1" applyFill="1" applyBorder="1" applyAlignment="1"/>
    <xf numFmtId="0" fontId="109" fillId="0" borderId="0" xfId="211" applyFont="1" applyFill="1" applyBorder="1"/>
    <xf numFmtId="38" fontId="14" fillId="0" borderId="0" xfId="0" applyNumberFormat="1" applyFont="1" applyBorder="1"/>
    <xf numFmtId="0" fontId="34" fillId="0" borderId="0" xfId="249" applyFont="1" applyFill="1" applyBorder="1"/>
    <xf numFmtId="0" fontId="121" fillId="0" borderId="0" xfId="249" applyFont="1" applyFill="1" applyAlignment="1">
      <alignment horizontal="center"/>
    </xf>
    <xf numFmtId="0" fontId="14" fillId="0" borderId="0" xfId="249" applyFont="1" applyFill="1" applyBorder="1"/>
    <xf numFmtId="0" fontId="101" fillId="0" borderId="0" xfId="0" applyFont="1" applyAlignment="1">
      <alignment horizontal="center"/>
    </xf>
    <xf numFmtId="41" fontId="0" fillId="0" borderId="0" xfId="0" applyNumberFormat="1" applyFill="1"/>
    <xf numFmtId="37" fontId="123"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49"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80" fillId="31" borderId="0" xfId="258" applyNumberFormat="1" applyFont="1" applyFill="1" applyBorder="1"/>
    <xf numFmtId="0" fontId="73" fillId="31" borderId="0" xfId="258" applyFont="1" applyFill="1" applyAlignment="1">
      <alignment horizontal="center"/>
    </xf>
    <xf numFmtId="174" fontId="0" fillId="0" borderId="0" xfId="117" applyNumberFormat="1" applyFont="1"/>
    <xf numFmtId="0" fontId="14" fillId="0" borderId="0" xfId="249" applyFont="1" applyFill="1" applyAlignment="1">
      <alignment horizontal="center"/>
    </xf>
    <xf numFmtId="3" fontId="34" fillId="31" borderId="0" xfId="211" applyNumberFormat="1" applyFont="1" applyFill="1" applyBorder="1" applyAlignment="1"/>
    <xf numFmtId="0" fontId="0" fillId="31" borderId="0" xfId="0" applyFill="1"/>
    <xf numFmtId="0" fontId="7" fillId="31" borderId="0" xfId="0" applyFont="1" applyFill="1"/>
    <xf numFmtId="10" fontId="14" fillId="0" borderId="0" xfId="266" applyNumberFormat="1" applyFont="1" applyFill="1"/>
    <xf numFmtId="174" fontId="0" fillId="0" borderId="0" xfId="0" applyNumberFormat="1" applyBorder="1"/>
    <xf numFmtId="6" fontId="14" fillId="0" borderId="0" xfId="0" applyNumberFormat="1" applyFont="1" applyBorder="1" applyAlignment="1">
      <alignment horizontal="right"/>
    </xf>
    <xf numFmtId="10" fontId="73" fillId="31" borderId="0" xfId="266" applyNumberFormat="1" applyFont="1" applyFill="1"/>
    <xf numFmtId="0" fontId="76" fillId="0" borderId="0" xfId="258" applyFont="1" applyFill="1"/>
    <xf numFmtId="41" fontId="73" fillId="31" borderId="0" xfId="258" applyNumberFormat="1" applyFont="1" applyFill="1"/>
    <xf numFmtId="0" fontId="73" fillId="31" borderId="0" xfId="258" applyFont="1" applyFill="1"/>
    <xf numFmtId="10" fontId="73" fillId="31" borderId="0" xfId="266" applyNumberFormat="1" applyFont="1" applyFill="1" applyBorder="1"/>
    <xf numFmtId="41" fontId="89" fillId="32" borderId="0" xfId="258" applyNumberFormat="1" applyFont="1" applyFill="1"/>
    <xf numFmtId="41" fontId="89" fillId="32" borderId="0" xfId="258" applyNumberFormat="1" applyFont="1" applyFill="1" applyBorder="1"/>
    <xf numFmtId="10" fontId="73" fillId="31" borderId="11" xfId="266" applyNumberFormat="1" applyFont="1" applyFill="1" applyBorder="1"/>
    <xf numFmtId="173" fontId="73" fillId="31" borderId="0" xfId="86" applyNumberFormat="1" applyFont="1" applyFill="1"/>
    <xf numFmtId="41" fontId="73" fillId="31" borderId="0" xfId="258" applyNumberFormat="1" applyFont="1" applyFill="1" applyBorder="1"/>
    <xf numFmtId="10" fontId="5" fillId="0" borderId="0" xfId="259" applyNumberFormat="1" applyBorder="1" applyProtection="1"/>
    <xf numFmtId="193" fontId="5" fillId="0" borderId="0" xfId="259" applyNumberFormat="1" applyBorder="1" applyProtection="1"/>
    <xf numFmtId="192" fontId="5" fillId="0" borderId="0" xfId="259" applyNumberFormat="1" applyBorder="1" applyProtection="1"/>
    <xf numFmtId="176" fontId="5" fillId="0" borderId="0" xfId="259" applyNumberFormat="1" applyBorder="1" applyProtection="1"/>
    <xf numFmtId="172" fontId="5" fillId="0" borderId="0" xfId="257" applyFont="1" applyAlignment="1" applyProtection="1"/>
    <xf numFmtId="172" fontId="7" fillId="0" borderId="0" xfId="257" applyFont="1" applyAlignment="1" applyProtection="1"/>
    <xf numFmtId="0" fontId="0" fillId="0" borderId="0" xfId="0" applyBorder="1" applyProtection="1"/>
    <xf numFmtId="0" fontId="8" fillId="0" borderId="0" xfId="257" applyNumberFormat="1" applyFont="1" applyBorder="1" applyAlignment="1" applyProtection="1">
      <alignment horizontal="left"/>
    </xf>
    <xf numFmtId="14" fontId="8" fillId="0" borderId="0" xfId="257" applyNumberFormat="1" applyFont="1" applyBorder="1" applyAlignment="1" applyProtection="1"/>
    <xf numFmtId="172" fontId="8" fillId="0" borderId="0" xfId="257" applyFont="1" applyFill="1" applyAlignment="1" applyProtection="1"/>
    <xf numFmtId="172" fontId="7" fillId="0" borderId="0" xfId="257" applyFont="1" applyFill="1" applyAlignment="1" applyProtection="1"/>
    <xf numFmtId="0" fontId="7" fillId="0" borderId="0" xfId="257"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57" applyNumberFormat="1" applyFont="1" applyProtection="1"/>
    <xf numFmtId="0" fontId="7" fillId="0" borderId="0" xfId="257" applyNumberFormat="1" applyFont="1" applyAlignment="1" applyProtection="1">
      <alignment horizontal="right"/>
    </xf>
    <xf numFmtId="0" fontId="21" fillId="0" borderId="0" xfId="86" applyNumberFormat="1" applyFont="1" applyFill="1" applyAlignment="1" applyProtection="1"/>
    <xf numFmtId="3" fontId="7" fillId="0" borderId="0" xfId="257" applyNumberFormat="1" applyFont="1" applyAlignment="1" applyProtection="1"/>
    <xf numFmtId="3" fontId="7" fillId="0" borderId="0" xfId="0" applyNumberFormat="1" applyFont="1" applyAlignment="1" applyProtection="1">
      <alignment horizontal="center"/>
    </xf>
    <xf numFmtId="0" fontId="5" fillId="0" borderId="0" xfId="257" applyNumberFormat="1" applyFont="1" applyAlignment="1" applyProtection="1">
      <alignment horizontal="center"/>
    </xf>
    <xf numFmtId="0" fontId="7" fillId="0" borderId="0" xfId="257" applyNumberFormat="1" applyFont="1" applyAlignment="1" applyProtection="1">
      <alignment horizontal="center"/>
    </xf>
    <xf numFmtId="49" fontId="7" fillId="0" borderId="0" xfId="257"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57" applyNumberFormat="1" applyFont="1" applyProtection="1"/>
    <xf numFmtId="39" fontId="7" fillId="0" borderId="0" xfId="86" applyNumberFormat="1" applyFont="1" applyAlignment="1" applyProtection="1">
      <alignment horizontal="center"/>
    </xf>
    <xf numFmtId="0" fontId="5" fillId="0" borderId="6" xfId="257" applyNumberFormat="1" applyFont="1" applyBorder="1" applyAlignment="1" applyProtection="1">
      <alignment horizontal="center"/>
    </xf>
    <xf numFmtId="0" fontId="7" fillId="0" borderId="0" xfId="257" applyNumberFormat="1" applyFont="1" applyBorder="1" applyAlignment="1" applyProtection="1">
      <alignment horizontal="center"/>
    </xf>
    <xf numFmtId="0" fontId="7" fillId="0" borderId="6" xfId="257" applyNumberFormat="1" applyFont="1" applyBorder="1" applyAlignment="1" applyProtection="1">
      <alignment horizontal="center"/>
    </xf>
    <xf numFmtId="0" fontId="7" fillId="0" borderId="0" xfId="0" applyNumberFormat="1" applyFont="1" applyProtection="1"/>
    <xf numFmtId="0" fontId="7" fillId="0" borderId="0" xfId="257" applyNumberFormat="1" applyFont="1" applyFill="1" applyProtection="1"/>
    <xf numFmtId="3" fontId="7" fillId="0" borderId="0" xfId="257" applyNumberFormat="1" applyFont="1" applyProtection="1"/>
    <xf numFmtId="0" fontId="7" fillId="0" borderId="0" xfId="257" applyNumberFormat="1" applyFont="1" applyAlignment="1" applyProtection="1">
      <alignment horizontal="left"/>
    </xf>
    <xf numFmtId="170" fontId="7" fillId="0" borderId="0" xfId="257" applyNumberFormat="1" applyFont="1" applyProtection="1"/>
    <xf numFmtId="3" fontId="7" fillId="0" borderId="0" xfId="257" applyNumberFormat="1" applyFont="1" applyFill="1" applyAlignment="1" applyProtection="1">
      <alignment horizontal="left"/>
    </xf>
    <xf numFmtId="3" fontId="7" fillId="0" borderId="0" xfId="257" applyNumberFormat="1" applyFont="1" applyFill="1" applyAlignment="1" applyProtection="1"/>
    <xf numFmtId="0" fontId="7" fillId="0" borderId="6" xfId="257" applyNumberFormat="1" applyFont="1" applyBorder="1" applyAlignment="1" applyProtection="1">
      <alignment horizontal="centerContinuous"/>
    </xf>
    <xf numFmtId="0" fontId="7" fillId="0" borderId="0" xfId="0" applyNumberFormat="1" applyFont="1" applyAlignment="1" applyProtection="1"/>
    <xf numFmtId="41" fontId="7" fillId="0" borderId="0" xfId="257" applyNumberFormat="1" applyFont="1" applyFill="1" applyBorder="1" applyAlignment="1" applyProtection="1"/>
    <xf numFmtId="3" fontId="7" fillId="0" borderId="0" xfId="257" applyNumberFormat="1" applyFont="1" applyFill="1" applyAlignment="1" applyProtection="1">
      <alignment horizontal="center"/>
    </xf>
    <xf numFmtId="165" fontId="7" fillId="0" borderId="0" xfId="257" applyNumberFormat="1" applyFont="1" applyFill="1" applyAlignment="1" applyProtection="1">
      <alignment horizontal="right"/>
    </xf>
    <xf numFmtId="42" fontId="7" fillId="0" borderId="0" xfId="257" applyNumberFormat="1" applyFont="1" applyBorder="1" applyAlignment="1" applyProtection="1"/>
    <xf numFmtId="172" fontId="7" fillId="0" borderId="11" xfId="257" applyFont="1" applyBorder="1" applyAlignment="1" applyProtection="1"/>
    <xf numFmtId="172" fontId="7" fillId="0" borderId="0" xfId="257" applyFont="1" applyBorder="1" applyAlignment="1" applyProtection="1"/>
    <xf numFmtId="0" fontId="5" fillId="0" borderId="0" xfId="257" applyNumberFormat="1" applyFont="1" applyFill="1" applyAlignment="1" applyProtection="1">
      <alignment horizontal="center"/>
    </xf>
    <xf numFmtId="0" fontId="7" fillId="0" borderId="0" xfId="257"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57" applyNumberFormat="1" applyFont="1" applyAlignment="1" applyProtection="1">
      <alignment horizontal="left"/>
    </xf>
    <xf numFmtId="3" fontId="7" fillId="0" borderId="0" xfId="257" applyNumberFormat="1" applyFont="1" applyAlignment="1" applyProtection="1">
      <alignment horizontal="center"/>
    </xf>
    <xf numFmtId="174" fontId="7" fillId="0" borderId="14" xfId="257" applyNumberFormat="1" applyFont="1" applyBorder="1" applyAlignment="1" applyProtection="1"/>
    <xf numFmtId="42" fontId="7" fillId="0" borderId="0" xfId="257" applyNumberFormat="1" applyFont="1" applyAlignment="1" applyProtection="1"/>
    <xf numFmtId="172" fontId="79" fillId="0" borderId="0" xfId="257" applyFont="1" applyAlignment="1" applyProtection="1">
      <alignment horizontal="center" wrapText="1"/>
    </xf>
    <xf numFmtId="0" fontId="7" fillId="0" borderId="0" xfId="0" applyNumberFormat="1" applyFont="1" applyFill="1" applyAlignment="1" applyProtection="1"/>
    <xf numFmtId="41" fontId="7" fillId="0" borderId="0" xfId="257" applyNumberFormat="1" applyFont="1" applyFill="1" applyAlignment="1" applyProtection="1"/>
    <xf numFmtId="42" fontId="7" fillId="0" borderId="0" xfId="257" applyNumberFormat="1" applyFont="1" applyFill="1" applyAlignment="1" applyProtection="1"/>
    <xf numFmtId="43" fontId="7" fillId="0" borderId="0" xfId="86" applyFont="1" applyProtection="1"/>
    <xf numFmtId="0" fontId="7" fillId="0" borderId="0" xfId="257" applyNumberFormat="1" applyFont="1" applyFill="1" applyAlignment="1" applyProtection="1"/>
    <xf numFmtId="171" fontId="7" fillId="0" borderId="0" xfId="257" applyNumberFormat="1" applyFont="1" applyProtection="1"/>
    <xf numFmtId="10" fontId="7" fillId="0" borderId="0" xfId="257" applyNumberFormat="1" applyFont="1" applyAlignment="1" applyProtection="1"/>
    <xf numFmtId="10" fontId="7" fillId="0" borderId="0" xfId="257" applyNumberFormat="1" applyFont="1" applyProtection="1"/>
    <xf numFmtId="0" fontId="34" fillId="0" borderId="0" xfId="0" applyFont="1" applyProtection="1"/>
    <xf numFmtId="10" fontId="7" fillId="0" borderId="0" xfId="266" applyNumberFormat="1" applyFont="1" applyAlignment="1" applyProtection="1"/>
    <xf numFmtId="186" fontId="7" fillId="0" borderId="0" xfId="257"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57" applyNumberFormat="1" applyFont="1" applyAlignment="1" applyProtection="1">
      <alignment horizontal="center"/>
    </xf>
    <xf numFmtId="41" fontId="7" fillId="0" borderId="14" xfId="257" applyNumberFormat="1" applyFont="1" applyBorder="1" applyAlignment="1" applyProtection="1">
      <alignment horizontal="center"/>
    </xf>
    <xf numFmtId="41" fontId="7" fillId="0" borderId="0" xfId="257" applyNumberFormat="1" applyFont="1" applyFill="1" applyAlignment="1" applyProtection="1">
      <alignment horizontal="right"/>
    </xf>
    <xf numFmtId="42" fontId="7" fillId="0" borderId="0" xfId="266" applyNumberFormat="1" applyFont="1" applyAlignment="1" applyProtection="1"/>
    <xf numFmtId="43" fontId="7" fillId="0" borderId="0" xfId="257" applyNumberFormat="1" applyFont="1" applyFill="1" applyAlignment="1" applyProtection="1">
      <alignment horizontal="right"/>
    </xf>
    <xf numFmtId="172" fontId="7" fillId="0" borderId="0" xfId="257" applyFont="1" applyFill="1" applyAlignment="1" applyProtection="1">
      <alignment horizontal="right"/>
    </xf>
    <xf numFmtId="0" fontId="34" fillId="0" borderId="0" xfId="0" applyFont="1" applyAlignment="1" applyProtection="1">
      <alignment horizontal="center"/>
    </xf>
    <xf numFmtId="49" fontId="7" fillId="0" borderId="0" xfId="257" applyNumberFormat="1" applyFont="1" applyAlignment="1" applyProtection="1">
      <alignment horizontal="left"/>
    </xf>
    <xf numFmtId="0" fontId="5" fillId="0" borderId="0" xfId="257" applyNumberFormat="1" applyFont="1" applyAlignment="1" applyProtection="1">
      <alignment horizontal="center" vertical="center"/>
    </xf>
    <xf numFmtId="3" fontId="8" fillId="0" borderId="0" xfId="257" applyNumberFormat="1" applyFont="1" applyAlignment="1" applyProtection="1">
      <alignment horizontal="center"/>
    </xf>
    <xf numFmtId="172" fontId="8" fillId="0" borderId="0" xfId="257" applyFont="1" applyAlignment="1" applyProtection="1">
      <alignment horizontal="center"/>
    </xf>
    <xf numFmtId="49" fontId="8" fillId="0" borderId="0" xfId="257" applyNumberFormat="1" applyFont="1" applyAlignment="1" applyProtection="1">
      <alignment horizontal="center"/>
    </xf>
    <xf numFmtId="0" fontId="12" fillId="0" borderId="0" xfId="257" applyNumberFormat="1" applyFont="1" applyAlignment="1" applyProtection="1">
      <alignment horizontal="center"/>
    </xf>
    <xf numFmtId="172" fontId="12" fillId="0" borderId="0" xfId="257" applyFont="1" applyBorder="1" applyAlignment="1" applyProtection="1">
      <alignment horizontal="center"/>
    </xf>
    <xf numFmtId="3" fontId="8" fillId="0" borderId="0" xfId="257" applyNumberFormat="1" applyFont="1" applyAlignment="1" applyProtection="1"/>
    <xf numFmtId="3" fontId="7" fillId="0" borderId="0" xfId="257" applyNumberFormat="1" applyFont="1" applyFill="1" applyBorder="1" applyAlignment="1" applyProtection="1">
      <alignment horizontal="center"/>
    </xf>
    <xf numFmtId="0" fontId="7" fillId="0" borderId="0" xfId="257" applyNumberFormat="1" applyFont="1" applyBorder="1" applyAlignment="1" applyProtection="1"/>
    <xf numFmtId="173" fontId="7" fillId="0" borderId="0" xfId="86" applyNumberFormat="1" applyFont="1" applyFill="1" applyAlignment="1" applyProtection="1"/>
    <xf numFmtId="0" fontId="7" fillId="0" borderId="0" xfId="257" applyNumberFormat="1" applyFont="1" applyBorder="1" applyAlignment="1" applyProtection="1">
      <alignment vertical="center"/>
    </xf>
    <xf numFmtId="3" fontId="7" fillId="0" borderId="0" xfId="257" applyNumberFormat="1" applyFont="1" applyFill="1" applyAlignment="1" applyProtection="1">
      <alignment vertical="center" wrapText="1"/>
    </xf>
    <xf numFmtId="3" fontId="7" fillId="0" borderId="0" xfId="257" applyNumberFormat="1" applyFont="1" applyFill="1" applyAlignment="1" applyProtection="1">
      <alignment horizontal="center" vertical="center"/>
    </xf>
    <xf numFmtId="3" fontId="7" fillId="0" borderId="0" xfId="257" applyNumberFormat="1" applyFont="1" applyFill="1" applyAlignment="1" applyProtection="1">
      <alignment vertical="center"/>
    </xf>
    <xf numFmtId="41" fontId="7" fillId="0" borderId="0" xfId="257" applyNumberFormat="1" applyFont="1" applyFill="1" applyAlignment="1" applyProtection="1">
      <alignment vertical="center"/>
    </xf>
    <xf numFmtId="0" fontId="7" fillId="0" borderId="0" xfId="257" applyNumberFormat="1" applyFont="1" applyFill="1" applyBorder="1" applyAlignment="1" applyProtection="1"/>
    <xf numFmtId="41" fontId="7" fillId="0" borderId="6" xfId="257" applyNumberFormat="1" applyFont="1" applyFill="1" applyBorder="1" applyAlignment="1" applyProtection="1"/>
    <xf numFmtId="0" fontId="34" fillId="0" borderId="0" xfId="0" applyFont="1" applyAlignment="1" applyProtection="1"/>
    <xf numFmtId="178" fontId="8" fillId="0" borderId="0" xfId="257" applyNumberFormat="1" applyFont="1" applyFill="1" applyAlignment="1" applyProtection="1">
      <alignment horizontal="right"/>
    </xf>
    <xf numFmtId="182" fontId="8" fillId="0" borderId="0" xfId="86" applyNumberFormat="1" applyFont="1" applyFill="1" applyAlignment="1" applyProtection="1"/>
    <xf numFmtId="178" fontId="7" fillId="0" borderId="0" xfId="257" applyNumberFormat="1" applyFont="1" applyFill="1" applyAlignment="1" applyProtection="1"/>
    <xf numFmtId="184" fontId="7" fillId="0" borderId="0" xfId="257" applyNumberFormat="1" applyFont="1" applyFill="1" applyAlignment="1" applyProtection="1"/>
    <xf numFmtId="183" fontId="7" fillId="0" borderId="0" xfId="257" applyNumberFormat="1" applyFont="1" applyFill="1" applyAlignment="1" applyProtection="1"/>
    <xf numFmtId="165" fontId="7" fillId="0" borderId="0" xfId="257" applyNumberFormat="1" applyFont="1" applyFill="1" applyAlignment="1" applyProtection="1"/>
    <xf numFmtId="0" fontId="7" fillId="0" borderId="0" xfId="257" applyNumberFormat="1" applyFont="1" applyFill="1" applyAlignment="1" applyProtection="1">
      <alignment horizontal="center" vertical="center"/>
    </xf>
    <xf numFmtId="164" fontId="7" fillId="0" borderId="0" xfId="257"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57" applyNumberFormat="1" applyFont="1" applyAlignment="1" applyProtection="1"/>
    <xf numFmtId="165" fontId="7" fillId="0" borderId="0" xfId="257" applyNumberFormat="1" applyFont="1" applyAlignment="1" applyProtection="1"/>
    <xf numFmtId="3" fontId="8" fillId="0" borderId="0" xfId="257" applyNumberFormat="1" applyFont="1" applyFill="1" applyAlignment="1" applyProtection="1">
      <alignment horizontal="right"/>
    </xf>
    <xf numFmtId="182" fontId="7" fillId="0" borderId="0" xfId="86" applyNumberFormat="1" applyFont="1" applyFill="1" applyAlignment="1" applyProtection="1"/>
    <xf numFmtId="0" fontId="0" fillId="0" borderId="0" xfId="0" applyFill="1" applyProtection="1"/>
    <xf numFmtId="164" fontId="7" fillId="0" borderId="0" xfId="257" applyNumberFormat="1" applyFont="1" applyFill="1" applyAlignment="1" applyProtection="1">
      <alignment horizontal="left"/>
    </xf>
    <xf numFmtId="0" fontId="34" fillId="0" borderId="0" xfId="0" applyFont="1" applyFill="1" applyProtection="1"/>
    <xf numFmtId="10" fontId="7" fillId="0" borderId="0" xfId="266" applyNumberFormat="1" applyFont="1" applyFill="1" applyAlignment="1" applyProtection="1"/>
    <xf numFmtId="175" fontId="7" fillId="0" borderId="0" xfId="257" applyNumberFormat="1" applyFont="1" applyFill="1" applyAlignment="1" applyProtection="1"/>
    <xf numFmtId="41" fontId="7" fillId="0" borderId="0" xfId="257" applyNumberFormat="1" applyFont="1" applyAlignment="1" applyProtection="1">
      <alignment horizontal="center" vertical="center"/>
    </xf>
    <xf numFmtId="41" fontId="7" fillId="0" borderId="6" xfId="257" applyNumberFormat="1" applyFont="1" applyBorder="1" applyAlignment="1" applyProtection="1"/>
    <xf numFmtId="164" fontId="7" fillId="0" borderId="0" xfId="257" applyNumberFormat="1" applyFont="1" applyAlignment="1" applyProtection="1">
      <alignment horizontal="center"/>
    </xf>
    <xf numFmtId="0" fontId="91" fillId="0" borderId="0" xfId="257" applyNumberFormat="1" applyFont="1" applyAlignment="1" applyProtection="1">
      <alignment horizontal="center"/>
    </xf>
    <xf numFmtId="3" fontId="7" fillId="0" borderId="0" xfId="257" applyNumberFormat="1" applyFont="1" applyFill="1" applyAlignment="1" applyProtection="1">
      <alignment horizontal="right"/>
    </xf>
    <xf numFmtId="172" fontId="7" fillId="0" borderId="0" xfId="257" applyFont="1" applyAlignment="1" applyProtection="1">
      <alignment horizontal="center"/>
    </xf>
    <xf numFmtId="172" fontId="7" fillId="0" borderId="0" xfId="257" applyFont="1" applyFill="1" applyAlignment="1" applyProtection="1">
      <alignment horizontal="center"/>
    </xf>
    <xf numFmtId="0" fontId="0" fillId="0" borderId="0" xfId="0" applyAlignment="1" applyProtection="1">
      <alignment horizontal="center"/>
    </xf>
    <xf numFmtId="49" fontId="7" fillId="0" borderId="0" xfId="257" applyNumberFormat="1" applyFont="1" applyFill="1" applyAlignment="1" applyProtection="1">
      <alignment horizontal="center"/>
    </xf>
    <xf numFmtId="0" fontId="8" fillId="0" borderId="0" xfId="257" applyNumberFormat="1" applyFont="1" applyFill="1" applyAlignment="1" applyProtection="1">
      <alignment horizontal="center"/>
    </xf>
    <xf numFmtId="172" fontId="8" fillId="0" borderId="0" xfId="257" applyFont="1" applyAlignment="1" applyProtection="1"/>
    <xf numFmtId="0" fontId="8" fillId="0" borderId="0" xfId="257" applyNumberFormat="1" applyFont="1" applyAlignment="1" applyProtection="1">
      <alignment horizontal="center"/>
    </xf>
    <xf numFmtId="3" fontId="12" fillId="0" borderId="0" xfId="257" applyNumberFormat="1" applyFont="1" applyAlignment="1" applyProtection="1">
      <alignment horizontal="center"/>
    </xf>
    <xf numFmtId="3" fontId="8" fillId="0" borderId="0" xfId="257" applyNumberFormat="1" applyFont="1" applyFill="1" applyAlignment="1" applyProtection="1"/>
    <xf numFmtId="3" fontId="12" fillId="0" borderId="0" xfId="257" applyNumberFormat="1" applyFont="1" applyFill="1" applyAlignment="1" applyProtection="1"/>
    <xf numFmtId="3" fontId="12" fillId="0" borderId="0" xfId="257"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100" fillId="0" borderId="0" xfId="257" applyNumberFormat="1" applyFont="1" applyFill="1" applyAlignment="1" applyProtection="1">
      <alignment horizontal="right"/>
    </xf>
    <xf numFmtId="41" fontId="7" fillId="0" borderId="0" xfId="257" applyNumberFormat="1" applyFont="1" applyBorder="1" applyAlignment="1" applyProtection="1"/>
    <xf numFmtId="3" fontId="7" fillId="0" borderId="0" xfId="257" applyNumberFormat="1" applyFont="1" applyAlignment="1" applyProtection="1">
      <alignment vertical="center" wrapText="1"/>
    </xf>
    <xf numFmtId="41" fontId="100" fillId="0" borderId="0" xfId="257" applyNumberFormat="1" applyFont="1" applyFill="1" applyAlignment="1" applyProtection="1">
      <alignment horizontal="right"/>
    </xf>
    <xf numFmtId="3" fontId="7" fillId="0" borderId="0" xfId="257" applyNumberFormat="1" applyFont="1" applyAlignment="1" applyProtection="1">
      <alignment horizontal="center" vertical="center"/>
    </xf>
    <xf numFmtId="3" fontId="7" fillId="0" borderId="0" xfId="257" applyNumberFormat="1" applyFont="1" applyAlignment="1" applyProtection="1">
      <alignment vertical="center"/>
    </xf>
    <xf numFmtId="41" fontId="7" fillId="0" borderId="0" xfId="257" applyNumberFormat="1" applyFont="1" applyAlignment="1" applyProtection="1">
      <alignment vertical="center"/>
    </xf>
    <xf numFmtId="43" fontId="7" fillId="0" borderId="0" xfId="266" applyNumberFormat="1" applyFont="1" applyFill="1" applyAlignment="1" applyProtection="1"/>
    <xf numFmtId="166" fontId="7" fillId="0" borderId="0" xfId="257" applyNumberFormat="1" applyFont="1" applyAlignment="1" applyProtection="1"/>
    <xf numFmtId="167" fontId="7" fillId="0" borderId="0" xfId="257" applyNumberFormat="1" applyFont="1" applyAlignment="1" applyProtection="1"/>
    <xf numFmtId="172" fontId="25" fillId="0" borderId="0" xfId="257" applyFont="1" applyAlignment="1" applyProtection="1"/>
    <xf numFmtId="164" fontId="7" fillId="0" borderId="0" xfId="257" applyNumberFormat="1" applyFont="1" applyBorder="1" applyAlignment="1" applyProtection="1">
      <alignment horizontal="left"/>
    </xf>
    <xf numFmtId="168" fontId="7" fillId="0" borderId="0" xfId="257" applyNumberFormat="1" applyFont="1" applyAlignment="1" applyProtection="1"/>
    <xf numFmtId="10" fontId="7" fillId="0" borderId="0" xfId="257" applyNumberFormat="1" applyFont="1" applyFill="1" applyAlignment="1" applyProtection="1">
      <alignment horizontal="right"/>
    </xf>
    <xf numFmtId="10" fontId="34" fillId="0" borderId="0" xfId="266" applyNumberFormat="1" applyFont="1" applyProtection="1"/>
    <xf numFmtId="3" fontId="25" fillId="0" borderId="0" xfId="257" applyNumberFormat="1" applyFont="1" applyAlignment="1" applyProtection="1"/>
    <xf numFmtId="167" fontId="7" fillId="0" borderId="0" xfId="257" applyNumberFormat="1" applyFont="1" applyFill="1" applyAlignment="1" applyProtection="1"/>
    <xf numFmtId="166" fontId="7" fillId="0" borderId="0" xfId="257" applyNumberFormat="1" applyFont="1" applyAlignment="1" applyProtection="1">
      <alignment horizontal="center"/>
    </xf>
    <xf numFmtId="187" fontId="25" fillId="0" borderId="0" xfId="257" applyNumberFormat="1" applyFont="1" applyAlignment="1" applyProtection="1">
      <alignment horizontal="center"/>
    </xf>
    <xf numFmtId="188" fontId="7" fillId="0" borderId="0" xfId="257" applyNumberFormat="1" applyFont="1" applyAlignment="1" applyProtection="1"/>
    <xf numFmtId="164" fontId="7" fillId="0" borderId="0" xfId="257" applyNumberFormat="1" applyFont="1" applyFill="1" applyBorder="1" applyAlignment="1" applyProtection="1">
      <alignment horizontal="left"/>
    </xf>
    <xf numFmtId="179" fontId="7" fillId="0" borderId="0" xfId="257" applyNumberFormat="1" applyFont="1" applyFill="1" applyAlignment="1" applyProtection="1">
      <alignment horizontal="right"/>
    </xf>
    <xf numFmtId="186" fontId="7" fillId="0" borderId="0" xfId="86" applyNumberFormat="1" applyFont="1" applyAlignment="1" applyProtection="1">
      <alignment horizontal="center"/>
    </xf>
    <xf numFmtId="41" fontId="25" fillId="0" borderId="0" xfId="257" applyNumberFormat="1" applyFont="1" applyAlignment="1" applyProtection="1"/>
    <xf numFmtId="43" fontId="25" fillId="0" borderId="0" xfId="86" applyFont="1" applyAlignment="1" applyProtection="1"/>
    <xf numFmtId="179" fontId="7" fillId="0" borderId="0" xfId="257" applyNumberFormat="1" applyFont="1" applyAlignment="1" applyProtection="1">
      <alignment horizontal="center"/>
    </xf>
    <xf numFmtId="10" fontId="7" fillId="0" borderId="0" xfId="257" applyNumberFormat="1" applyFont="1" applyFill="1" applyAlignment="1" applyProtection="1">
      <alignment horizontal="left"/>
    </xf>
    <xf numFmtId="187" fontId="7" fillId="0" borderId="0" xfId="257" applyNumberFormat="1" applyFont="1" applyAlignment="1" applyProtection="1">
      <alignment horizontal="center"/>
    </xf>
    <xf numFmtId="168" fontId="7" fillId="0" borderId="0" xfId="257" applyNumberFormat="1" applyFont="1" applyFill="1" applyAlignment="1" applyProtection="1">
      <alignment horizontal="left"/>
    </xf>
    <xf numFmtId="41" fontId="7" fillId="0" borderId="0" xfId="257" applyNumberFormat="1" applyFont="1" applyAlignment="1" applyProtection="1">
      <alignment horizontal="right"/>
    </xf>
    <xf numFmtId="41" fontId="7" fillId="0" borderId="11" xfId="257" applyNumberFormat="1" applyFont="1" applyBorder="1" applyAlignment="1" applyProtection="1"/>
    <xf numFmtId="179" fontId="7" fillId="0" borderId="0" xfId="257" applyNumberFormat="1" applyFont="1" applyAlignment="1" applyProtection="1"/>
    <xf numFmtId="172" fontId="25" fillId="0" borderId="0" xfId="257" applyFont="1" applyFill="1" applyAlignment="1" applyProtection="1"/>
    <xf numFmtId="164" fontId="7" fillId="0" borderId="0" xfId="257" applyNumberFormat="1" applyFont="1" applyFill="1" applyBorder="1" applyAlignment="1" applyProtection="1">
      <alignment horizontal="left" vertical="center"/>
    </xf>
    <xf numFmtId="41" fontId="7" fillId="0" borderId="0" xfId="257" applyNumberFormat="1" applyFont="1" applyFill="1" applyAlignment="1" applyProtection="1">
      <alignment horizontal="center" vertical="center"/>
    </xf>
    <xf numFmtId="180" fontId="7" fillId="0" borderId="0" xfId="257" applyNumberFormat="1" applyFont="1" applyAlignment="1" applyProtection="1"/>
    <xf numFmtId="173" fontId="7" fillId="0" borderId="14" xfId="86" applyNumberFormat="1" applyFont="1" applyBorder="1" applyAlignment="1" applyProtection="1"/>
    <xf numFmtId="0" fontId="7" fillId="0" borderId="0" xfId="257" applyNumberFormat="1" applyFont="1" applyFill="1" applyBorder="1" applyAlignment="1" applyProtection="1">
      <alignment horizontal="left"/>
    </xf>
    <xf numFmtId="0" fontId="8" fillId="0" borderId="0" xfId="257" applyNumberFormat="1" applyFont="1" applyAlignment="1" applyProtection="1"/>
    <xf numFmtId="0" fontId="7" fillId="0" borderId="0" xfId="0" applyFont="1" applyFill="1" applyAlignment="1" applyProtection="1">
      <alignment horizontal="left"/>
    </xf>
    <xf numFmtId="0" fontId="7" fillId="0" borderId="0" xfId="257" applyNumberFormat="1" applyFont="1" applyFill="1" applyBorder="1" applyProtection="1"/>
    <xf numFmtId="3" fontId="7" fillId="0" borderId="0" xfId="257" applyNumberFormat="1" applyFont="1" applyFill="1" applyBorder="1" applyAlignment="1" applyProtection="1"/>
    <xf numFmtId="172" fontId="7" fillId="0" borderId="0" xfId="257" applyFont="1" applyFill="1" applyBorder="1" applyAlignment="1" applyProtection="1"/>
    <xf numFmtId="172" fontId="7" fillId="0" borderId="0" xfId="257" applyFont="1" applyFill="1" applyBorder="1" applyAlignment="1" applyProtection="1">
      <alignment horizontal="center"/>
    </xf>
    <xf numFmtId="173" fontId="7" fillId="0" borderId="6" xfId="86" applyNumberFormat="1" applyFont="1" applyBorder="1" applyAlignment="1" applyProtection="1"/>
    <xf numFmtId="3" fontId="7" fillId="0" borderId="0" xfId="257" applyNumberFormat="1" applyFont="1" applyFill="1" applyBorder="1" applyAlignment="1" applyProtection="1">
      <alignment horizontal="left"/>
    </xf>
    <xf numFmtId="0" fontId="7" fillId="0" borderId="0" xfId="257" applyNumberFormat="1" applyFont="1" applyFill="1" applyBorder="1" applyAlignment="1" applyProtection="1">
      <alignment horizontal="center"/>
    </xf>
    <xf numFmtId="49" fontId="7" fillId="0" borderId="0" xfId="257" applyNumberFormat="1" applyFont="1" applyFill="1" applyBorder="1" applyProtection="1"/>
    <xf numFmtId="49" fontId="7" fillId="0" borderId="0" xfId="257" applyNumberFormat="1" applyFont="1" applyFill="1" applyBorder="1" applyAlignment="1" applyProtection="1"/>
    <xf numFmtId="49" fontId="7" fillId="0" borderId="0" xfId="257" applyNumberFormat="1" applyFont="1" applyFill="1" applyBorder="1" applyAlignment="1" applyProtection="1">
      <alignment horizontal="center"/>
    </xf>
    <xf numFmtId="3" fontId="8" fillId="0" borderId="0" xfId="257" applyNumberFormat="1" applyFont="1" applyFill="1" applyBorder="1" applyAlignment="1" applyProtection="1"/>
    <xf numFmtId="165" fontId="8" fillId="0" borderId="0" xfId="257" applyNumberFormat="1" applyFont="1" applyFill="1" applyBorder="1" applyAlignment="1" applyProtection="1">
      <alignment horizontal="right"/>
    </xf>
    <xf numFmtId="0" fontId="8" fillId="0" borderId="0" xfId="257" applyNumberFormat="1" applyFont="1" applyFill="1" applyAlignment="1" applyProtection="1"/>
    <xf numFmtId="3" fontId="7" fillId="0" borderId="0" xfId="257" applyNumberFormat="1" applyFont="1" applyFill="1" applyProtection="1"/>
    <xf numFmtId="3" fontId="7" fillId="0" borderId="0" xfId="257" applyNumberFormat="1" applyFont="1" applyFill="1" applyAlignment="1" applyProtection="1">
      <alignment horizontal="center" wrapText="1"/>
    </xf>
    <xf numFmtId="4" fontId="7" fillId="0" borderId="0" xfId="257" applyNumberFormat="1" applyFont="1" applyAlignment="1" applyProtection="1"/>
    <xf numFmtId="173" fontId="7" fillId="0" borderId="6" xfId="86" applyNumberFormat="1" applyFont="1" applyFill="1" applyBorder="1" applyAlignment="1" applyProtection="1"/>
    <xf numFmtId="3" fontId="8" fillId="0" borderId="0" xfId="257" applyNumberFormat="1" applyFont="1" applyFill="1" applyAlignment="1" applyProtection="1">
      <alignment horizontal="center"/>
    </xf>
    <xf numFmtId="172" fontId="8" fillId="0" borderId="0" xfId="257" applyFont="1" applyAlignment="1" applyProtection="1">
      <alignment horizontal="right"/>
    </xf>
    <xf numFmtId="165" fontId="8" fillId="0" borderId="0" xfId="257" applyNumberFormat="1" applyFont="1" applyAlignment="1" applyProtection="1"/>
    <xf numFmtId="166" fontId="8" fillId="0" borderId="0" xfId="257" applyNumberFormat="1" applyFont="1" applyFill="1" applyProtection="1"/>
    <xf numFmtId="3" fontId="7" fillId="0" borderId="6" xfId="257" applyNumberFormat="1" applyFont="1" applyFill="1" applyBorder="1" applyAlignment="1" applyProtection="1">
      <alignment horizontal="center"/>
    </xf>
    <xf numFmtId="0" fontId="16" fillId="0" borderId="0" xfId="257" applyNumberFormat="1" applyFont="1" applyFill="1" applyBorder="1" applyAlignment="1" applyProtection="1">
      <alignment horizontal="left"/>
    </xf>
    <xf numFmtId="0" fontId="7" fillId="0" borderId="0" xfId="257" applyNumberFormat="1" applyFont="1" applyFill="1" applyAlignment="1" applyProtection="1">
      <alignment horizontal="left"/>
    </xf>
    <xf numFmtId="3" fontId="25" fillId="0" borderId="0" xfId="257" applyNumberFormat="1" applyFont="1" applyFill="1" applyAlignment="1" applyProtection="1"/>
    <xf numFmtId="182" fontId="7" fillId="0" borderId="0" xfId="86" applyNumberFormat="1" applyFont="1" applyFill="1" applyAlignment="1" applyProtection="1">
      <alignment horizontal="center"/>
    </xf>
    <xf numFmtId="0" fontId="7" fillId="0" borderId="6" xfId="257" applyNumberFormat="1" applyFont="1" applyFill="1" applyBorder="1" applyAlignment="1" applyProtection="1">
      <alignment horizontal="center"/>
    </xf>
    <xf numFmtId="182" fontId="7" fillId="0" borderId="6" xfId="86" applyNumberFormat="1" applyFont="1" applyFill="1" applyBorder="1" applyAlignment="1" applyProtection="1">
      <alignment horizontal="center"/>
    </xf>
    <xf numFmtId="10" fontId="7" fillId="0" borderId="0" xfId="257" applyNumberFormat="1" applyFont="1" applyFill="1" applyAlignment="1" applyProtection="1"/>
    <xf numFmtId="186" fontId="7" fillId="0" borderId="0" xfId="86" applyNumberFormat="1" applyFont="1" applyFill="1" applyAlignment="1" applyProtection="1"/>
    <xf numFmtId="169" fontId="7" fillId="0" borderId="16" xfId="257" applyNumberFormat="1" applyFont="1" applyFill="1" applyBorder="1" applyAlignment="1" applyProtection="1"/>
    <xf numFmtId="3" fontId="7" fillId="0" borderId="0" xfId="257" quotePrefix="1" applyNumberFormat="1" applyFont="1" applyAlignment="1" applyProtection="1"/>
    <xf numFmtId="169" fontId="7" fillId="0" borderId="0" xfId="257" applyNumberFormat="1" applyFont="1" applyFill="1" applyBorder="1" applyAlignment="1" applyProtection="1"/>
    <xf numFmtId="169" fontId="7" fillId="0" borderId="6" xfId="257" applyNumberFormat="1" applyFont="1" applyFill="1" applyBorder="1" applyAlignment="1" applyProtection="1"/>
    <xf numFmtId="182" fontId="24" fillId="0" borderId="0" xfId="86" applyNumberFormat="1" applyFont="1" applyFill="1" applyProtection="1"/>
    <xf numFmtId="169" fontId="8" fillId="0" borderId="0" xfId="257" applyNumberFormat="1" applyFont="1" applyFill="1" applyAlignment="1" applyProtection="1"/>
    <xf numFmtId="3" fontId="8" fillId="0" borderId="0" xfId="257" quotePrefix="1" applyNumberFormat="1" applyFont="1" applyAlignment="1" applyProtection="1"/>
    <xf numFmtId="172" fontId="7" fillId="0" borderId="0" xfId="257" applyFont="1" applyAlignment="1" applyProtection="1">
      <alignment horizontal="right"/>
    </xf>
    <xf numFmtId="172" fontId="7" fillId="0" borderId="0" xfId="257" applyNumberFormat="1" applyFont="1" applyAlignment="1" applyProtection="1"/>
    <xf numFmtId="172" fontId="12" fillId="0" borderId="0" xfId="257" applyFont="1" applyAlignment="1" applyProtection="1">
      <alignment horizontal="center"/>
    </xf>
    <xf numFmtId="172" fontId="5" fillId="0" borderId="0" xfId="257" applyFont="1" applyFill="1" applyAlignment="1" applyProtection="1">
      <alignment horizontal="center"/>
    </xf>
    <xf numFmtId="172" fontId="5" fillId="0" borderId="0" xfId="257" applyFont="1" applyFill="1" applyAlignment="1" applyProtection="1"/>
    <xf numFmtId="10" fontId="7" fillId="0" borderId="0" xfId="257"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57" applyNumberFormat="1" applyFont="1" applyFill="1" applyAlignment="1" applyProtection="1"/>
    <xf numFmtId="0" fontId="121" fillId="0" borderId="0" xfId="257" applyNumberFormat="1" applyFont="1" applyFill="1" applyAlignment="1" applyProtection="1"/>
    <xf numFmtId="0" fontId="28" fillId="0" borderId="0" xfId="257" applyNumberFormat="1" applyFont="1" applyFill="1" applyProtection="1"/>
    <xf numFmtId="172" fontId="28" fillId="0" borderId="0" xfId="257" applyFont="1" applyFill="1" applyAlignment="1" applyProtection="1"/>
    <xf numFmtId="0" fontId="28" fillId="0" borderId="0" xfId="0" applyFont="1" applyAlignment="1" applyProtection="1">
      <alignment vertical="top" wrapText="1"/>
    </xf>
    <xf numFmtId="172" fontId="28" fillId="0" borderId="0" xfId="257" applyFont="1" applyFill="1" applyAlignment="1" applyProtection="1">
      <alignment wrapText="1"/>
    </xf>
    <xf numFmtId="172" fontId="121" fillId="0" borderId="0" xfId="257" applyFont="1" applyFill="1" applyAlignment="1" applyProtection="1"/>
    <xf numFmtId="0" fontId="5" fillId="0" borderId="0" xfId="257" applyNumberFormat="1" applyFont="1" applyFill="1" applyProtection="1"/>
    <xf numFmtId="0" fontId="90" fillId="0" borderId="0" xfId="257" applyNumberFormat="1" applyFont="1" applyFill="1" applyAlignment="1" applyProtection="1">
      <alignment horizontal="center"/>
    </xf>
    <xf numFmtId="0" fontId="0" fillId="0" borderId="0" xfId="0" applyAlignment="1" applyProtection="1">
      <alignment wrapText="1"/>
    </xf>
    <xf numFmtId="0" fontId="7" fillId="0" borderId="0" xfId="0" applyFont="1" applyAlignment="1" applyProtection="1">
      <alignment horizontal="center"/>
    </xf>
    <xf numFmtId="0" fontId="7" fillId="0" borderId="0" xfId="211" applyFont="1" applyBorder="1" applyAlignment="1" applyProtection="1">
      <alignment horizontal="center"/>
    </xf>
    <xf numFmtId="49" fontId="7" fillId="0" borderId="0" xfId="249"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61" applyFont="1" applyProtection="1"/>
    <xf numFmtId="0" fontId="5" fillId="0" borderId="0" xfId="261" applyFont="1" applyAlignment="1" applyProtection="1">
      <alignment horizontal="right"/>
    </xf>
    <xf numFmtId="0" fontId="12" fillId="0" borderId="0" xfId="261" applyFont="1" applyAlignment="1" applyProtection="1">
      <alignment horizontal="center"/>
    </xf>
    <xf numFmtId="0" fontId="28" fillId="0" borderId="0" xfId="0" applyFont="1" applyProtection="1"/>
    <xf numFmtId="0" fontId="7" fillId="0" borderId="0" xfId="261" applyFont="1" applyProtection="1"/>
    <xf numFmtId="0" fontId="84" fillId="0" borderId="0" xfId="261" applyFont="1" applyProtection="1"/>
    <xf numFmtId="0" fontId="28" fillId="0" borderId="0" xfId="0" applyFont="1" applyAlignment="1" applyProtection="1">
      <alignment horizontal="center"/>
    </xf>
    <xf numFmtId="0" fontId="12" fillId="0" borderId="0" xfId="261"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61" applyFont="1" applyFill="1" applyProtection="1"/>
    <xf numFmtId="0" fontId="28" fillId="0" borderId="0" xfId="261" applyFont="1" applyAlignment="1" applyProtection="1">
      <alignment horizontal="center"/>
    </xf>
    <xf numFmtId="0" fontId="11" fillId="0" borderId="0" xfId="261" applyFont="1" applyFill="1" applyAlignment="1" applyProtection="1">
      <alignment horizontal="center"/>
    </xf>
    <xf numFmtId="0" fontId="11" fillId="0" borderId="0" xfId="261" applyFont="1" applyFill="1" applyProtection="1"/>
    <xf numFmtId="0" fontId="14" fillId="0" borderId="0" xfId="261" applyFont="1" applyProtection="1"/>
    <xf numFmtId="173" fontId="14" fillId="0" borderId="0" xfId="261" applyNumberFormat="1" applyFont="1" applyFill="1" applyProtection="1"/>
    <xf numFmtId="0" fontId="110" fillId="0" borderId="0" xfId="0" applyFont="1" applyFill="1" applyProtection="1"/>
    <xf numFmtId="0" fontId="14" fillId="0" borderId="0" xfId="0" applyFont="1" applyAlignment="1" applyProtection="1">
      <alignment horizontal="center"/>
    </xf>
    <xf numFmtId="0" fontId="110" fillId="0" borderId="0" xfId="0" applyFont="1" applyProtection="1"/>
    <xf numFmtId="0" fontId="101" fillId="0" borderId="0" xfId="261" applyFont="1" applyFill="1" applyAlignment="1" applyProtection="1">
      <alignment horizontal="center"/>
    </xf>
    <xf numFmtId="0" fontId="101" fillId="0" borderId="0" xfId="261" applyFont="1" applyFill="1" applyProtection="1"/>
    <xf numFmtId="0" fontId="109" fillId="0" borderId="0" xfId="0" applyFont="1" applyProtection="1"/>
    <xf numFmtId="0" fontId="109" fillId="0" borderId="0" xfId="261" applyFont="1" applyProtection="1"/>
    <xf numFmtId="172" fontId="14" fillId="0" borderId="0" xfId="261" applyNumberFormat="1" applyFont="1" applyFill="1" applyAlignment="1" applyProtection="1">
      <alignment horizontal="center"/>
    </xf>
    <xf numFmtId="0" fontId="14" fillId="0" borderId="0" xfId="261" applyFont="1" applyFill="1" applyProtection="1"/>
    <xf numFmtId="0" fontId="11" fillId="0" borderId="0" xfId="261" applyFont="1" applyProtection="1"/>
    <xf numFmtId="0" fontId="101" fillId="0" borderId="0" xfId="261" applyFont="1" applyProtection="1"/>
    <xf numFmtId="43" fontId="14" fillId="0" borderId="0" xfId="115" applyFont="1" applyFill="1" applyProtection="1"/>
    <xf numFmtId="43" fontId="109" fillId="0" borderId="0" xfId="115" applyFont="1" applyFill="1" applyProtection="1"/>
    <xf numFmtId="185"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61" applyNumberFormat="1" applyFont="1" applyProtection="1"/>
    <xf numFmtId="173" fontId="14" fillId="0" borderId="0" xfId="261" applyNumberFormat="1" applyFont="1" applyBorder="1" applyProtection="1"/>
    <xf numFmtId="173" fontId="14" fillId="0" borderId="13" xfId="261" applyNumberFormat="1" applyFont="1" applyBorder="1" applyProtection="1"/>
    <xf numFmtId="0" fontId="7" fillId="0" borderId="0" xfId="261" applyFont="1" applyFill="1" applyProtection="1"/>
    <xf numFmtId="173" fontId="7" fillId="0" borderId="0" xfId="261"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57" applyNumberFormat="1" applyFont="1" applyFill="1" applyBorder="1" applyAlignment="1" applyProtection="1"/>
    <xf numFmtId="3" fontId="14" fillId="0" borderId="0" xfId="257" applyNumberFormat="1" applyFont="1" applyAlignment="1" applyProtection="1"/>
    <xf numFmtId="10" fontId="4" fillId="0" borderId="0" xfId="266" applyNumberFormat="1" applyAlignment="1" applyProtection="1">
      <alignment horizontal="right"/>
    </xf>
    <xf numFmtId="172" fontId="14" fillId="0" borderId="0" xfId="257" applyFont="1" applyAlignment="1" applyProtection="1"/>
    <xf numFmtId="172" fontId="14" fillId="0" borderId="0" xfId="257" applyFont="1" applyBorder="1" applyAlignment="1" applyProtection="1"/>
    <xf numFmtId="3" fontId="14" fillId="0" borderId="0" xfId="257" applyNumberFormat="1" applyFont="1" applyFill="1" applyAlignment="1" applyProtection="1"/>
    <xf numFmtId="10" fontId="14" fillId="0" borderId="0" xfId="266" applyNumberFormat="1" applyFont="1" applyFill="1" applyAlignment="1" applyProtection="1">
      <alignment horizontal="right"/>
    </xf>
    <xf numFmtId="3" fontId="11" fillId="0" borderId="0" xfId="257" applyNumberFormat="1" applyFont="1" applyAlignment="1" applyProtection="1"/>
    <xf numFmtId="10" fontId="14" fillId="0" borderId="0" xfId="257" applyNumberFormat="1" applyFont="1" applyFill="1" applyAlignment="1" applyProtection="1">
      <alignment horizontal="right"/>
    </xf>
    <xf numFmtId="3" fontId="15" fillId="0" borderId="0" xfId="257" applyNumberFormat="1" applyFont="1" applyAlignment="1" applyProtection="1">
      <alignment horizontal="center"/>
    </xf>
    <xf numFmtId="10" fontId="15" fillId="0" borderId="0" xfId="257" applyNumberFormat="1" applyFont="1" applyFill="1" applyAlignment="1" applyProtection="1">
      <alignment horizontal="center"/>
    </xf>
    <xf numFmtId="0" fontId="14"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66" applyNumberFormat="1" applyFont="1" applyAlignment="1" applyProtection="1"/>
    <xf numFmtId="166" fontId="14" fillId="0" borderId="0" xfId="257" applyNumberFormat="1" applyFont="1" applyAlignment="1" applyProtection="1">
      <alignment horizontal="center"/>
    </xf>
    <xf numFmtId="166" fontId="14" fillId="0" borderId="0" xfId="257" applyNumberFormat="1" applyFont="1" applyBorder="1" applyAlignment="1" applyProtection="1">
      <alignment horizontal="center"/>
    </xf>
    <xf numFmtId="41" fontId="14" fillId="0" borderId="0" xfId="257" applyNumberFormat="1" applyFont="1" applyAlignment="1" applyProtection="1"/>
    <xf numFmtId="41" fontId="14" fillId="0" borderId="0" xfId="257" applyNumberFormat="1" applyFont="1" applyAlignment="1" applyProtection="1">
      <alignment horizontal="center"/>
    </xf>
    <xf numFmtId="41" fontId="14" fillId="0" borderId="0" xfId="257" applyNumberFormat="1" applyFont="1" applyBorder="1" applyAlignment="1" applyProtection="1">
      <alignment horizontal="center"/>
    </xf>
    <xf numFmtId="0" fontId="14" fillId="0" borderId="0" xfId="257" applyNumberFormat="1" applyFont="1" applyBorder="1" applyAlignment="1" applyProtection="1">
      <alignment horizontal="right"/>
    </xf>
    <xf numFmtId="164" fontId="15" fillId="0" borderId="0" xfId="266" applyNumberFormat="1" applyFont="1" applyAlignment="1" applyProtection="1"/>
    <xf numFmtId="0" fontId="14" fillId="0" borderId="0" xfId="257" applyNumberFormat="1" applyFont="1" applyBorder="1" applyAlignment="1" applyProtection="1"/>
    <xf numFmtId="3" fontId="14" fillId="0" borderId="0" xfId="257" applyNumberFormat="1" applyFont="1" applyAlignment="1" applyProtection="1">
      <alignment horizontal="right"/>
    </xf>
    <xf numFmtId="172" fontId="4" fillId="0" borderId="17" xfId="257" applyFont="1" applyBorder="1" applyAlignment="1" applyProtection="1"/>
    <xf numFmtId="0" fontId="4" fillId="0" borderId="0" xfId="257" applyNumberFormat="1" applyFont="1" applyBorder="1" applyAlignment="1" applyProtection="1">
      <alignment horizontal="center"/>
    </xf>
    <xf numFmtId="172" fontId="4" fillId="0" borderId="0" xfId="257" applyFont="1" applyBorder="1" applyAlignment="1" applyProtection="1"/>
    <xf numFmtId="3" fontId="4" fillId="0" borderId="18" xfId="257" applyNumberFormat="1" applyFont="1" applyBorder="1" applyAlignment="1" applyProtection="1"/>
    <xf numFmtId="10" fontId="14" fillId="0" borderId="0" xfId="257" applyNumberFormat="1" applyFont="1" applyFill="1" applyAlignment="1" applyProtection="1">
      <alignment horizontal="left"/>
    </xf>
    <xf numFmtId="41" fontId="14" fillId="0" borderId="0" xfId="257"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57" applyNumberFormat="1" applyFont="1" applyFill="1" applyAlignment="1" applyProtection="1"/>
    <xf numFmtId="166" fontId="4" fillId="0" borderId="19" xfId="257" applyNumberFormat="1" applyFont="1" applyBorder="1" applyAlignment="1" applyProtection="1">
      <alignment horizontal="center"/>
    </xf>
    <xf numFmtId="0" fontId="4" fillId="0" borderId="6" xfId="257" applyNumberFormat="1" applyFont="1" applyBorder="1" applyAlignment="1" applyProtection="1">
      <alignment horizontal="center"/>
    </xf>
    <xf numFmtId="174" fontId="4" fillId="0" borderId="20" xfId="0" applyNumberFormat="1" applyFont="1" applyBorder="1" applyProtection="1"/>
    <xf numFmtId="41" fontId="4" fillId="0" borderId="0" xfId="257" applyNumberFormat="1" applyFont="1" applyBorder="1" applyAlignment="1" applyProtection="1"/>
    <xf numFmtId="0" fontId="14" fillId="31" borderId="0" xfId="257" applyNumberFormat="1" applyFont="1" applyFill="1" applyBorder="1" applyAlignment="1" applyProtection="1"/>
    <xf numFmtId="41" fontId="14" fillId="0" borderId="0" xfId="257" applyNumberFormat="1" applyFont="1" applyFill="1" applyAlignment="1" applyProtection="1">
      <alignment horizontal="left"/>
    </xf>
    <xf numFmtId="41" fontId="4" fillId="0" borderId="0" xfId="257" applyNumberFormat="1" applyFont="1" applyFill="1" applyBorder="1" applyAlignment="1" applyProtection="1">
      <alignment horizontal="right"/>
    </xf>
    <xf numFmtId="167" fontId="14" fillId="0" borderId="0" xfId="257" applyNumberFormat="1" applyFont="1" applyAlignment="1" applyProtection="1"/>
    <xf numFmtId="164" fontId="14" fillId="0" borderId="0" xfId="257" applyNumberFormat="1" applyFont="1" applyFill="1" applyBorder="1" applyAlignment="1" applyProtection="1">
      <alignment horizontal="left"/>
    </xf>
    <xf numFmtId="164" fontId="14" fillId="0" borderId="0" xfId="257" applyNumberFormat="1" applyFont="1" applyBorder="1" applyAlignment="1" applyProtection="1">
      <alignment horizontal="left"/>
    </xf>
    <xf numFmtId="3" fontId="14" fillId="0" borderId="0" xfId="257" applyNumberFormat="1" applyFont="1" applyAlignment="1" applyProtection="1">
      <alignment vertical="center" wrapText="1"/>
    </xf>
    <xf numFmtId="41" fontId="14" fillId="0" borderId="0" xfId="257" applyNumberFormat="1" applyFont="1" applyBorder="1" applyAlignment="1" applyProtection="1">
      <alignment vertical="center"/>
    </xf>
    <xf numFmtId="41" fontId="14" fillId="0" borderId="0" xfId="257" applyNumberFormat="1" applyFont="1" applyBorder="1" applyAlignment="1" applyProtection="1">
      <alignment horizontal="center" vertical="center"/>
    </xf>
    <xf numFmtId="41" fontId="14" fillId="0" borderId="0" xfId="257"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57" applyNumberFormat="1" applyFont="1" applyFill="1" applyBorder="1" applyAlignment="1" applyProtection="1"/>
    <xf numFmtId="41" fontId="14" fillId="0" borderId="11" xfId="257" applyNumberFormat="1" applyFont="1" applyFill="1" applyBorder="1" applyAlignment="1" applyProtection="1"/>
    <xf numFmtId="3" fontId="14" fillId="0" borderId="0" xfId="257" applyNumberFormat="1" applyFont="1" applyFill="1" applyBorder="1" applyAlignment="1" applyProtection="1"/>
    <xf numFmtId="41" fontId="14" fillId="0" borderId="0" xfId="257" applyNumberFormat="1" applyFont="1" applyFill="1" applyBorder="1" applyAlignment="1" applyProtection="1">
      <alignment horizontal="center"/>
    </xf>
    <xf numFmtId="0" fontId="14" fillId="0" borderId="0" xfId="257" applyNumberFormat="1" applyFont="1" applyFill="1" applyBorder="1" applyProtection="1"/>
    <xf numFmtId="41" fontId="15" fillId="0" borderId="0" xfId="257" applyNumberFormat="1" applyFont="1" applyFill="1" applyBorder="1" applyAlignment="1" applyProtection="1"/>
    <xf numFmtId="3" fontId="14" fillId="0" borderId="0" xfId="257" applyNumberFormat="1" applyFont="1" applyFill="1" applyBorder="1" applyAlignment="1" applyProtection="1">
      <alignment horizontal="center"/>
    </xf>
    <xf numFmtId="0" fontId="14" fillId="0" borderId="0" xfId="0" applyFont="1" applyFill="1" applyBorder="1" applyProtection="1"/>
    <xf numFmtId="0" fontId="14" fillId="0" borderId="0" xfId="257" applyNumberFormat="1" applyFont="1" applyFill="1" applyBorder="1" applyAlignment="1" applyProtection="1">
      <alignment horizontal="center"/>
    </xf>
    <xf numFmtId="10" fontId="14" fillId="0" borderId="0" xfId="257" applyNumberFormat="1" applyFont="1" applyFill="1" applyBorder="1" applyAlignment="1" applyProtection="1"/>
    <xf numFmtId="169" fontId="14" fillId="0" borderId="0" xfId="257" applyNumberFormat="1" applyFont="1" applyFill="1" applyBorder="1" applyAlignment="1" applyProtection="1"/>
    <xf numFmtId="172" fontId="14" fillId="0" borderId="0" xfId="257" applyFont="1" applyFill="1" applyBorder="1" applyAlignment="1" applyProtection="1"/>
    <xf numFmtId="169" fontId="11" fillId="0" borderId="0" xfId="257"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2"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6" xfId="0" applyFont="1" applyBorder="1" applyProtection="1"/>
    <xf numFmtId="0" fontId="14" fillId="0" borderId="16" xfId="0" applyFont="1" applyBorder="1" applyProtection="1"/>
    <xf numFmtId="173" fontId="11" fillId="0" borderId="22" xfId="86" applyNumberFormat="1"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8" fillId="0" borderId="0" xfId="86" applyNumberFormat="1" applyFont="1" applyFill="1" applyBorder="1" applyAlignment="1" applyProtection="1">
      <alignment horizontal="left"/>
    </xf>
    <xf numFmtId="173" fontId="11" fillId="0" borderId="23" xfId="86" applyNumberFormat="1" applyFont="1" applyBorder="1" applyProtection="1"/>
    <xf numFmtId="0" fontId="11" fillId="0" borderId="0" xfId="0" applyFont="1" applyFill="1" applyProtection="1"/>
    <xf numFmtId="173" fontId="11" fillId="0" borderId="19" xfId="86" applyNumberFormat="1" applyFont="1" applyBorder="1" applyProtection="1"/>
    <xf numFmtId="173" fontId="14" fillId="0" borderId="6" xfId="86" applyNumberFormat="1" applyFont="1" applyBorder="1" applyProtection="1"/>
    <xf numFmtId="173" fontId="14" fillId="0" borderId="20" xfId="86" applyNumberFormat="1" applyFont="1" applyBorder="1" applyProtection="1"/>
    <xf numFmtId="0" fontId="9" fillId="0" borderId="0" xfId="0" applyFont="1" applyFill="1" applyProtection="1"/>
    <xf numFmtId="173" fontId="24" fillId="0" borderId="0" xfId="0" applyNumberFormat="1" applyFont="1" applyAlignment="1" applyProtection="1">
      <alignment horizontal="left"/>
    </xf>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0" fillId="31" borderId="0" xfId="0" applyFill="1" applyProtection="1"/>
    <xf numFmtId="0" fontId="14"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0" xfId="0" applyFont="1" applyFill="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2"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7"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7" xfId="86" applyNumberFormat="1" applyFont="1" applyBorder="1" applyAlignment="1" applyProtection="1">
      <alignment horizontal="center" wrapText="1"/>
    </xf>
    <xf numFmtId="173" fontId="11" fillId="0" borderId="22" xfId="86" applyNumberFormat="1" applyFont="1" applyBorder="1" applyAlignment="1" applyProtection="1">
      <alignment horizontal="center" wrapText="1"/>
    </xf>
    <xf numFmtId="0" fontId="11" fillId="0" borderId="28" xfId="0" applyFont="1" applyBorder="1" applyAlignment="1" applyProtection="1">
      <alignment horizontal="center" wrapText="1"/>
    </xf>
    <xf numFmtId="173" fontId="11" fillId="28" borderId="27" xfId="86" applyNumberFormat="1" applyFont="1" applyFill="1" applyBorder="1" applyAlignment="1" applyProtection="1">
      <alignment horizontal="center" wrapText="1"/>
    </xf>
    <xf numFmtId="0" fontId="11" fillId="0" borderId="0" xfId="0" applyFont="1" applyBorder="1" applyAlignment="1" applyProtection="1">
      <alignment horizontal="center" wrapText="1"/>
    </xf>
    <xf numFmtId="0" fontId="11" fillId="0" borderId="29" xfId="0" applyFont="1" applyBorder="1" applyAlignment="1" applyProtection="1">
      <alignment horizontal="center"/>
    </xf>
    <xf numFmtId="0" fontId="11" fillId="0" borderId="6" xfId="0" applyFont="1" applyBorder="1" applyAlignment="1" applyProtection="1">
      <alignment horizontal="center"/>
    </xf>
    <xf numFmtId="173" fontId="11" fillId="0" borderId="29"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28" borderId="29" xfId="86"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28" xfId="86" applyNumberFormat="1" applyFont="1" applyBorder="1" applyProtection="1"/>
    <xf numFmtId="173" fontId="14" fillId="0" borderId="28" xfId="86" applyNumberFormat="1" applyFont="1" applyFill="1" applyBorder="1" applyProtection="1"/>
    <xf numFmtId="173" fontId="14" fillId="0" borderId="18" xfId="86" applyNumberFormat="1" applyFont="1" applyFill="1" applyBorder="1" applyProtection="1"/>
    <xf numFmtId="174" fontId="14" fillId="0" borderId="28" xfId="0" applyNumberFormat="1" applyFont="1" applyBorder="1" applyProtection="1"/>
    <xf numFmtId="174" fontId="10" fillId="29" borderId="27" xfId="0" applyNumberFormat="1" applyFont="1" applyFill="1" applyBorder="1" applyProtection="1"/>
    <xf numFmtId="174" fontId="14" fillId="28" borderId="27" xfId="0" applyNumberFormat="1" applyFont="1" applyFill="1" applyBorder="1" applyProtection="1"/>
    <xf numFmtId="173" fontId="14" fillId="0" borderId="28" xfId="0" applyNumberFormat="1" applyFont="1" applyBorder="1" applyProtection="1"/>
    <xf numFmtId="173" fontId="14" fillId="0" borderId="18" xfId="86" applyNumberFormat="1" applyFont="1" applyBorder="1" applyProtection="1"/>
    <xf numFmtId="174" fontId="10" fillId="29" borderId="28" xfId="0" applyNumberFormat="1" applyFont="1" applyFill="1" applyBorder="1" applyProtection="1"/>
    <xf numFmtId="174" fontId="14" fillId="28" borderId="28" xfId="0" applyNumberFormat="1" applyFont="1" applyFill="1" applyBorder="1" applyProtection="1"/>
    <xf numFmtId="174" fontId="14" fillId="28" borderId="28" xfId="0" applyNumberFormat="1" applyFont="1" applyFill="1" applyBorder="1" applyAlignment="1" applyProtection="1">
      <alignment wrapText="1"/>
    </xf>
    <xf numFmtId="0" fontId="14" fillId="0" borderId="29" xfId="0" applyNumberFormat="1" applyFont="1" applyBorder="1" applyAlignment="1" applyProtection="1">
      <alignment horizontal="center"/>
    </xf>
    <xf numFmtId="173" fontId="14" fillId="0" borderId="6" xfId="0" applyNumberFormat="1" applyFont="1" applyBorder="1" applyProtection="1"/>
    <xf numFmtId="173" fontId="14" fillId="0" borderId="29" xfId="0" applyNumberFormat="1" applyFont="1" applyBorder="1" applyProtection="1"/>
    <xf numFmtId="173" fontId="14" fillId="0" borderId="29" xfId="86" applyNumberFormat="1" applyFont="1" applyBorder="1" applyProtection="1"/>
    <xf numFmtId="174" fontId="14" fillId="0" borderId="29" xfId="0" applyNumberFormat="1" applyFont="1" applyBorder="1" applyProtection="1"/>
    <xf numFmtId="174" fontId="10" fillId="29" borderId="29" xfId="0" applyNumberFormat="1" applyFont="1" applyFill="1" applyBorder="1" applyProtection="1"/>
    <xf numFmtId="174" fontId="14" fillId="28" borderId="29" xfId="0" applyNumberFormat="1" applyFont="1" applyFill="1" applyBorder="1" applyProtection="1"/>
    <xf numFmtId="0" fontId="0" fillId="33" borderId="0" xfId="0" applyFill="1" applyProtection="1"/>
    <xf numFmtId="10" fontId="0" fillId="0" borderId="0" xfId="266" applyNumberFormat="1" applyFont="1" applyAlignment="1" applyProtection="1">
      <alignment horizontal="right"/>
    </xf>
    <xf numFmtId="172" fontId="14" fillId="0" borderId="21" xfId="257" applyFont="1" applyBorder="1" applyAlignment="1" applyProtection="1"/>
    <xf numFmtId="172" fontId="14" fillId="0" borderId="16" xfId="257" applyFont="1" applyBorder="1" applyAlignment="1" applyProtection="1"/>
    <xf numFmtId="3" fontId="14" fillId="0" borderId="22" xfId="257" applyNumberFormat="1" applyFont="1" applyBorder="1" applyAlignment="1" applyProtection="1"/>
    <xf numFmtId="172" fontId="14" fillId="0" borderId="17" xfId="257" applyFont="1" applyBorder="1" applyAlignment="1" applyProtection="1"/>
    <xf numFmtId="3" fontId="14" fillId="0" borderId="18" xfId="257" applyNumberFormat="1" applyFont="1" applyBorder="1" applyAlignment="1" applyProtection="1"/>
    <xf numFmtId="0" fontId="14" fillId="0" borderId="0" xfId="257"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2" xfId="0" applyNumberFormat="1" applyFont="1" applyBorder="1" applyProtection="1"/>
    <xf numFmtId="166" fontId="14" fillId="0" borderId="19" xfId="257" applyNumberFormat="1" applyFont="1" applyBorder="1" applyAlignment="1" applyProtection="1">
      <alignment horizontal="center"/>
    </xf>
    <xf numFmtId="0" fontId="14" fillId="0" borderId="6" xfId="257" applyNumberFormat="1" applyFont="1" applyBorder="1" applyAlignment="1" applyProtection="1">
      <alignment horizontal="center"/>
    </xf>
    <xf numFmtId="173" fontId="14" fillId="0" borderId="6" xfId="257" quotePrefix="1" applyNumberFormat="1" applyFont="1" applyBorder="1" applyAlignment="1" applyProtection="1">
      <alignment horizontal="center"/>
    </xf>
    <xf numFmtId="41" fontId="14" fillId="0" borderId="0" xfId="257" applyNumberFormat="1" applyFont="1" applyFill="1" applyBorder="1" applyAlignment="1" applyProtection="1">
      <alignment horizontal="right"/>
    </xf>
    <xf numFmtId="10" fontId="14" fillId="0" borderId="0" xfId="266" applyNumberFormat="1" applyFont="1" applyFill="1" applyBorder="1" applyAlignment="1" applyProtection="1"/>
    <xf numFmtId="0" fontId="129"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3"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7" xfId="0" applyNumberFormat="1" applyFont="1" applyBorder="1" applyProtection="1"/>
    <xf numFmtId="174" fontId="14" fillId="0" borderId="27" xfId="0" applyNumberFormat="1" applyFont="1" applyBorder="1" applyProtection="1"/>
    <xf numFmtId="0" fontId="11" fillId="0" borderId="0" xfId="257" applyNumberFormat="1" applyFont="1" applyFill="1" applyBorder="1" applyAlignment="1" applyProtection="1">
      <alignment vertical="center"/>
    </xf>
    <xf numFmtId="0" fontId="108" fillId="0" borderId="0" xfId="0" applyFont="1" applyProtection="1"/>
    <xf numFmtId="0" fontId="11" fillId="0" borderId="0" xfId="257" applyNumberFormat="1" applyFont="1" applyFill="1" applyBorder="1" applyAlignment="1" applyProtection="1">
      <alignment vertical="top"/>
    </xf>
    <xf numFmtId="0" fontId="24" fillId="0" borderId="0" xfId="0" applyFont="1" applyAlignment="1" applyProtection="1"/>
    <xf numFmtId="0" fontId="112" fillId="0" borderId="0" xfId="259" applyFont="1" applyAlignment="1" applyProtection="1"/>
    <xf numFmtId="0" fontId="5" fillId="0" borderId="0" xfId="259" applyProtection="1"/>
    <xf numFmtId="44" fontId="112" fillId="0" borderId="0" xfId="117" applyFont="1" applyAlignment="1" applyProtection="1"/>
    <xf numFmtId="0" fontId="113" fillId="0" borderId="0" xfId="259" applyFont="1" applyProtection="1"/>
    <xf numFmtId="0" fontId="114" fillId="0" borderId="0" xfId="259" applyFont="1" applyAlignment="1" applyProtection="1">
      <alignment horizontal="center"/>
    </xf>
    <xf numFmtId="0" fontId="115" fillId="0" borderId="0" xfId="259" applyFont="1" applyProtection="1"/>
    <xf numFmtId="176" fontId="114" fillId="0" borderId="0" xfId="259" applyNumberFormat="1" applyFont="1" applyAlignment="1" applyProtection="1">
      <alignment horizontal="center"/>
    </xf>
    <xf numFmtId="0" fontId="114" fillId="0" borderId="0" xfId="259" applyFont="1" applyProtection="1"/>
    <xf numFmtId="176" fontId="114" fillId="0" borderId="0" xfId="259" quotePrefix="1" applyNumberFormat="1" applyFont="1" applyAlignment="1" applyProtection="1">
      <alignment horizontal="center"/>
    </xf>
    <xf numFmtId="194" fontId="114" fillId="0" borderId="0" xfId="259" quotePrefix="1" applyNumberFormat="1" applyFont="1" applyAlignment="1" applyProtection="1">
      <alignment horizontal="center"/>
    </xf>
    <xf numFmtId="0" fontId="116" fillId="0" borderId="0" xfId="259" applyFont="1" applyProtection="1"/>
    <xf numFmtId="0" fontId="117" fillId="0" borderId="15" xfId="259" applyFont="1" applyBorder="1" applyProtection="1"/>
    <xf numFmtId="0" fontId="113" fillId="0" borderId="15" xfId="259" applyFont="1" applyBorder="1" applyProtection="1"/>
    <xf numFmtId="0" fontId="5" fillId="0" borderId="0" xfId="259" applyFont="1" applyBorder="1" applyAlignment="1" applyProtection="1">
      <alignment horizontal="left"/>
    </xf>
    <xf numFmtId="0" fontId="113" fillId="0" borderId="0" xfId="259" applyFont="1" applyBorder="1" applyProtection="1"/>
    <xf numFmtId="0" fontId="5" fillId="0" borderId="0" xfId="259" applyFont="1" applyBorder="1" applyProtection="1"/>
    <xf numFmtId="0" fontId="118" fillId="0" borderId="0" xfId="259" applyFont="1" applyProtection="1"/>
    <xf numFmtId="176" fontId="5" fillId="0" borderId="0" xfId="259" quotePrefix="1" applyNumberFormat="1" applyAlignment="1" applyProtection="1">
      <alignment horizontal="right"/>
    </xf>
    <xf numFmtId="0" fontId="118" fillId="0" borderId="0" xfId="259" applyFont="1" applyAlignment="1" applyProtection="1">
      <alignment horizontal="right"/>
    </xf>
    <xf numFmtId="0" fontId="119" fillId="0" borderId="0" xfId="259" applyFont="1" applyProtection="1"/>
    <xf numFmtId="0" fontId="120" fillId="0" borderId="0" xfId="259" applyFont="1" applyProtection="1"/>
    <xf numFmtId="0" fontId="44" fillId="0" borderId="0" xfId="259" applyFont="1" applyProtection="1"/>
    <xf numFmtId="0" fontId="7" fillId="0" borderId="0" xfId="256" applyFont="1" applyProtection="1"/>
    <xf numFmtId="0" fontId="4" fillId="0" borderId="0" xfId="256" applyProtection="1"/>
    <xf numFmtId="0" fontId="4" fillId="0" borderId="0" xfId="256" applyAlignment="1" applyProtection="1">
      <alignment horizontal="center"/>
    </xf>
    <xf numFmtId="0" fontId="125" fillId="0" borderId="0" xfId="0" applyFont="1" applyFill="1" applyAlignment="1" applyProtection="1">
      <alignment horizontal="left"/>
    </xf>
    <xf numFmtId="0" fontId="125" fillId="0" borderId="0" xfId="0" applyFont="1" applyFill="1" applyProtection="1"/>
    <xf numFmtId="0" fontId="125" fillId="0" borderId="27" xfId="0" applyFont="1" applyFill="1" applyBorder="1" applyAlignment="1" applyProtection="1">
      <alignment horizontal="center" wrapText="1"/>
    </xf>
    <xf numFmtId="0" fontId="125" fillId="0" borderId="28" xfId="0" applyFont="1" applyFill="1" applyBorder="1" applyAlignment="1" applyProtection="1">
      <alignment horizontal="center" wrapText="1"/>
    </xf>
    <xf numFmtId="0" fontId="125" fillId="0" borderId="28" xfId="0" applyFont="1" applyFill="1" applyBorder="1" applyProtection="1"/>
    <xf numFmtId="170" fontId="126" fillId="0" borderId="0" xfId="0" applyNumberFormat="1" applyFont="1" applyFill="1" applyAlignment="1" applyProtection="1">
      <alignment horizontal="right"/>
    </xf>
    <xf numFmtId="170" fontId="125" fillId="0" borderId="0" xfId="0" applyNumberFormat="1" applyFont="1" applyFill="1" applyAlignment="1" applyProtection="1">
      <alignment horizontal="center"/>
    </xf>
    <xf numFmtId="170" fontId="125" fillId="0" borderId="0" xfId="0" applyNumberFormat="1" applyFont="1" applyFill="1" applyProtection="1"/>
    <xf numFmtId="170" fontId="126" fillId="0" borderId="0" xfId="0" applyNumberFormat="1" applyFont="1" applyFill="1" applyAlignment="1" applyProtection="1">
      <alignment horizontal="center"/>
    </xf>
    <xf numFmtId="170" fontId="7" fillId="0" borderId="0" xfId="0" applyNumberFormat="1" applyFont="1" applyFill="1" applyProtection="1"/>
    <xf numFmtId="5" fontId="125" fillId="0" borderId="29" xfId="0" applyNumberFormat="1" applyFont="1" applyFill="1" applyBorder="1" applyAlignment="1" applyProtection="1">
      <alignment horizontal="center"/>
    </xf>
    <xf numFmtId="173" fontId="125" fillId="0" borderId="0" xfId="0" applyNumberFormat="1" applyFont="1" applyFill="1" applyProtection="1"/>
    <xf numFmtId="0" fontId="125" fillId="0" borderId="0" xfId="0" applyFont="1" applyFill="1" applyAlignment="1" applyProtection="1">
      <alignment horizontal="center"/>
    </xf>
    <xf numFmtId="173" fontId="125" fillId="0" borderId="6" xfId="0" applyNumberFormat="1" applyFont="1" applyFill="1" applyBorder="1" applyProtection="1"/>
    <xf numFmtId="0" fontId="125" fillId="0" borderId="6" xfId="0" applyFont="1" applyFill="1" applyBorder="1" applyAlignment="1" applyProtection="1">
      <alignment horizontal="center"/>
    </xf>
    <xf numFmtId="0" fontId="7" fillId="0" borderId="6" xfId="0" applyFont="1" applyFill="1" applyBorder="1" applyProtection="1"/>
    <xf numFmtId="173" fontId="125" fillId="0" borderId="0" xfId="0" applyNumberFormat="1" applyFont="1" applyFill="1" applyAlignment="1" applyProtection="1">
      <alignment horizontal="left"/>
    </xf>
    <xf numFmtId="0" fontId="126" fillId="0" borderId="0" xfId="0" applyNumberFormat="1" applyFont="1" applyFill="1" applyAlignment="1" applyProtection="1">
      <alignment horizontal="left"/>
    </xf>
    <xf numFmtId="0" fontId="126" fillId="0" borderId="0" xfId="0" applyFont="1" applyFill="1" applyAlignment="1" applyProtection="1">
      <alignment horizontal="center" wrapText="1"/>
    </xf>
    <xf numFmtId="0" fontId="126" fillId="0" borderId="0" xfId="0" applyFont="1" applyFill="1" applyAlignment="1" applyProtection="1">
      <alignment horizontal="center"/>
    </xf>
    <xf numFmtId="173" fontId="126" fillId="0" borderId="0" xfId="0" applyNumberFormat="1" applyFont="1" applyFill="1" applyAlignment="1" applyProtection="1">
      <alignment horizontal="center" wrapText="1"/>
    </xf>
    <xf numFmtId="173" fontId="126" fillId="0" borderId="0" xfId="0" applyNumberFormat="1" applyFont="1" applyFill="1" applyAlignment="1" applyProtection="1">
      <alignment horizontal="center"/>
    </xf>
    <xf numFmtId="176" fontId="125" fillId="0" borderId="0" xfId="267" applyNumberFormat="1" applyFont="1" applyFill="1" applyProtection="1"/>
    <xf numFmtId="173" fontId="125" fillId="0" borderId="0" xfId="0" applyNumberFormat="1" applyFont="1" applyFill="1" applyAlignment="1" applyProtection="1">
      <alignment horizontal="center"/>
    </xf>
    <xf numFmtId="0" fontId="127" fillId="0" borderId="0" xfId="0" applyFont="1" applyFill="1" applyAlignment="1" applyProtection="1">
      <alignment horizontal="center"/>
    </xf>
    <xf numFmtId="173" fontId="125" fillId="0" borderId="0" xfId="88" applyNumberFormat="1" applyFont="1" applyFill="1" applyProtection="1"/>
    <xf numFmtId="176" fontId="125" fillId="0" borderId="0" xfId="0" applyNumberFormat="1" applyFont="1" applyFill="1" applyProtection="1"/>
    <xf numFmtId="0" fontId="125" fillId="0" borderId="0" xfId="0" applyNumberFormat="1" applyFont="1" applyFill="1" applyProtection="1"/>
    <xf numFmtId="173" fontId="125" fillId="0" borderId="11" xfId="88" applyNumberFormat="1" applyFont="1" applyFill="1" applyBorder="1" applyProtection="1"/>
    <xf numFmtId="173" fontId="126" fillId="0" borderId="0" xfId="88" applyNumberFormat="1" applyFont="1" applyFill="1" applyProtection="1"/>
    <xf numFmtId="173" fontId="126" fillId="0" borderId="0" xfId="88" applyNumberFormat="1" applyFont="1" applyFill="1" applyAlignment="1" applyProtection="1">
      <alignment horizontal="center"/>
    </xf>
    <xf numFmtId="0" fontId="127" fillId="0" borderId="0" xfId="0" applyFont="1" applyFill="1" applyProtection="1"/>
    <xf numFmtId="173" fontId="126" fillId="0" borderId="0" xfId="0" applyNumberFormat="1" applyFont="1" applyFill="1" applyProtection="1"/>
    <xf numFmtId="196" fontId="7" fillId="0" borderId="0" xfId="0" applyNumberFormat="1" applyFont="1" applyFill="1" applyProtection="1"/>
    <xf numFmtId="173" fontId="7" fillId="0" borderId="0" xfId="88" applyNumberFormat="1" applyFont="1" applyFill="1" applyProtection="1"/>
    <xf numFmtId="173" fontId="7" fillId="0" borderId="0" xfId="118" applyNumberFormat="1" applyFont="1" applyFill="1" applyProtection="1"/>
    <xf numFmtId="0" fontId="0" fillId="0" borderId="0" xfId="0" applyFill="1" applyAlignment="1" applyProtection="1">
      <alignment horizontal="left"/>
    </xf>
    <xf numFmtId="0" fontId="128" fillId="0" borderId="0" xfId="0" applyFont="1" applyFill="1" applyProtection="1"/>
    <xf numFmtId="176" fontId="0" fillId="0" borderId="0" xfId="0" applyNumberFormat="1" applyFill="1" applyProtection="1"/>
    <xf numFmtId="174" fontId="0" fillId="0" borderId="0" xfId="118" applyNumberFormat="1" applyFont="1" applyFill="1" applyProtection="1"/>
    <xf numFmtId="173" fontId="125" fillId="0" borderId="0" xfId="183" applyNumberFormat="1" applyFont="1" applyBorder="1" applyProtection="1"/>
    <xf numFmtId="43" fontId="14" fillId="0" borderId="0" xfId="183" applyNumberFormat="1" applyFont="1" applyProtection="1"/>
    <xf numFmtId="43" fontId="14" fillId="0" borderId="0" xfId="183" applyNumberFormat="1" applyFont="1" applyFill="1" applyBorder="1" applyProtection="1"/>
    <xf numFmtId="43" fontId="7" fillId="0" borderId="0" xfId="183" applyNumberFormat="1" applyFont="1" applyFill="1" applyBorder="1" applyProtection="1"/>
    <xf numFmtId="10" fontId="21" fillId="34" borderId="0" xfId="266" applyNumberFormat="1" applyFont="1" applyFill="1" applyAlignment="1" applyProtection="1">
      <protection locked="0"/>
    </xf>
    <xf numFmtId="173" fontId="10" fillId="34" borderId="0" xfId="89" applyNumberFormat="1" applyFont="1" applyFill="1" applyBorder="1" applyAlignment="1" applyProtection="1">
      <alignment horizontal="right"/>
      <protection locked="0"/>
    </xf>
    <xf numFmtId="0" fontId="34" fillId="34" borderId="0" xfId="211" applyFont="1" applyFill="1" applyBorder="1" applyProtection="1">
      <protection locked="0"/>
    </xf>
    <xf numFmtId="173" fontId="10" fillId="34" borderId="11" xfId="89" applyNumberFormat="1" applyFont="1" applyFill="1" applyBorder="1" applyAlignment="1" applyProtection="1">
      <alignment horizontal="right"/>
      <protection locked="0"/>
    </xf>
    <xf numFmtId="41" fontId="10" fillId="34" borderId="0" xfId="249" applyNumberFormat="1" applyFont="1" applyFill="1" applyProtection="1">
      <protection locked="0"/>
    </xf>
    <xf numFmtId="41" fontId="10" fillId="34" borderId="11" xfId="249" applyNumberFormat="1" applyFont="1" applyFill="1" applyBorder="1" applyProtection="1">
      <protection locked="0"/>
    </xf>
    <xf numFmtId="37" fontId="10" fillId="34" borderId="0" xfId="0" applyNumberFormat="1" applyFont="1" applyFill="1" applyProtection="1">
      <protection locked="0"/>
    </xf>
    <xf numFmtId="3" fontId="130" fillId="34" borderId="0" xfId="0" applyNumberFormat="1" applyFont="1" applyFill="1" applyProtection="1">
      <protection locked="0"/>
    </xf>
    <xf numFmtId="37" fontId="130" fillId="34" borderId="0" xfId="0" applyNumberFormat="1" applyFont="1" applyFill="1" applyProtection="1">
      <protection locked="0"/>
    </xf>
    <xf numFmtId="1" fontId="65" fillId="34" borderId="0" xfId="0" applyNumberFormat="1" applyFont="1" applyFill="1" applyAlignment="1" applyProtection="1">
      <alignment horizontal="left"/>
      <protection locked="0"/>
    </xf>
    <xf numFmtId="38" fontId="65" fillId="0" borderId="16"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4" borderId="0" xfId="115" applyNumberFormat="1" applyFont="1" applyFill="1" applyProtection="1">
      <protection locked="0"/>
    </xf>
    <xf numFmtId="0" fontId="21" fillId="34" borderId="0" xfId="249" applyFont="1" applyFill="1" applyAlignment="1" applyProtection="1">
      <alignment horizontal="center"/>
      <protection locked="0"/>
    </xf>
    <xf numFmtId="3" fontId="21" fillId="34" borderId="0" xfId="0" applyNumberFormat="1" applyFont="1" applyFill="1" applyAlignment="1" applyProtection="1">
      <protection locked="0"/>
    </xf>
    <xf numFmtId="41" fontId="21" fillId="34" borderId="0" xfId="249" applyNumberFormat="1" applyFont="1" applyFill="1" applyBorder="1" applyProtection="1">
      <protection locked="0"/>
    </xf>
    <xf numFmtId="41" fontId="21" fillId="34" borderId="11" xfId="249" applyNumberFormat="1" applyFont="1" applyFill="1" applyBorder="1" applyProtection="1">
      <protection locked="0"/>
    </xf>
    <xf numFmtId="10" fontId="21" fillId="34" borderId="0" xfId="0" applyNumberFormat="1" applyFont="1" applyFill="1" applyBorder="1" applyAlignment="1" applyProtection="1">
      <protection locked="0"/>
    </xf>
    <xf numFmtId="10" fontId="21" fillId="34" borderId="11" xfId="0" applyNumberFormat="1" applyFont="1" applyFill="1" applyBorder="1" applyAlignment="1" applyProtection="1">
      <protection locked="0"/>
    </xf>
    <xf numFmtId="10" fontId="80" fillId="34" borderId="11" xfId="266" applyNumberFormat="1" applyFont="1" applyFill="1" applyBorder="1" applyProtection="1">
      <protection locked="0"/>
    </xf>
    <xf numFmtId="173" fontId="80" fillId="34" borderId="0" xfId="258" applyNumberFormat="1" applyFont="1" applyFill="1" applyBorder="1" applyProtection="1">
      <protection locked="0"/>
    </xf>
    <xf numFmtId="0" fontId="73" fillId="34" borderId="0" xfId="258" applyFont="1" applyFill="1" applyAlignment="1" applyProtection="1">
      <alignment horizontal="center"/>
      <protection locked="0"/>
    </xf>
    <xf numFmtId="0" fontId="10" fillId="34" borderId="0" xfId="86" applyNumberFormat="1" applyFont="1" applyFill="1" applyAlignment="1" applyProtection="1">
      <protection locked="0"/>
    </xf>
    <xf numFmtId="173" fontId="4" fillId="34" borderId="6" xfId="257" applyNumberFormat="1" applyFont="1" applyFill="1" applyBorder="1" applyAlignment="1" applyProtection="1">
      <alignment horizontal="center"/>
      <protection locked="0"/>
    </xf>
    <xf numFmtId="0" fontId="21" fillId="34" borderId="0" xfId="86" applyNumberFormat="1" applyFont="1" applyFill="1" applyAlignment="1" applyProtection="1">
      <alignment horizontal="left"/>
      <protection locked="0"/>
    </xf>
    <xf numFmtId="173" fontId="160" fillId="34" borderId="18" xfId="86" applyNumberFormat="1" applyFont="1" applyFill="1" applyBorder="1" applyAlignment="1" applyProtection="1">
      <alignment horizontal="right"/>
      <protection locked="0"/>
    </xf>
    <xf numFmtId="173" fontId="10" fillId="34" borderId="18" xfId="86" applyNumberFormat="1" applyFont="1" applyFill="1" applyBorder="1" applyAlignment="1" applyProtection="1">
      <alignment horizontal="right"/>
      <protection locked="0"/>
    </xf>
    <xf numFmtId="0" fontId="10" fillId="34" borderId="20" xfId="0" applyFont="1" applyFill="1" applyBorder="1" applyAlignment="1" applyProtection="1">
      <alignment horizontal="right"/>
      <protection locked="0"/>
    </xf>
    <xf numFmtId="173" fontId="10" fillId="34" borderId="18" xfId="0" applyNumberFormat="1" applyFont="1" applyFill="1" applyBorder="1" applyAlignment="1" applyProtection="1">
      <alignment horizontal="right"/>
      <protection locked="0"/>
    </xf>
    <xf numFmtId="174" fontId="10" fillId="34" borderId="28" xfId="0" applyNumberFormat="1" applyFont="1" applyFill="1" applyBorder="1" applyProtection="1">
      <protection locked="0"/>
    </xf>
    <xf numFmtId="174" fontId="10" fillId="34" borderId="29" xfId="0" applyNumberFormat="1" applyFont="1" applyFill="1" applyBorder="1" applyProtection="1">
      <protection locked="0"/>
    </xf>
    <xf numFmtId="174" fontId="14" fillId="34" borderId="0" xfId="0" applyNumberFormat="1" applyFont="1" applyFill="1" applyBorder="1" applyProtection="1">
      <protection locked="0"/>
    </xf>
    <xf numFmtId="174" fontId="14" fillId="34" borderId="6" xfId="0" applyNumberFormat="1" applyFont="1" applyFill="1" applyBorder="1" applyProtection="1">
      <protection locked="0"/>
    </xf>
    <xf numFmtId="0" fontId="71" fillId="34" borderId="0" xfId="0" applyFont="1" applyFill="1" applyAlignment="1" applyProtection="1">
      <alignment horizontal="left"/>
      <protection locked="0"/>
    </xf>
    <xf numFmtId="0" fontId="10" fillId="34" borderId="18" xfId="0" applyFont="1" applyFill="1" applyBorder="1" applyAlignment="1" applyProtection="1">
      <alignment horizontal="right"/>
      <protection locked="0"/>
    </xf>
    <xf numFmtId="0" fontId="19" fillId="0" borderId="0" xfId="249" applyFont="1" applyAlignment="1">
      <alignment wrapText="1"/>
    </xf>
    <xf numFmtId="173" fontId="10" fillId="34" borderId="0" xfId="88" applyNumberFormat="1" applyFont="1" applyFill="1" applyBorder="1" applyProtection="1">
      <protection locked="0"/>
    </xf>
    <xf numFmtId="173" fontId="22" fillId="34" borderId="0" xfId="86" applyNumberFormat="1" applyFont="1" applyFill="1" applyProtection="1">
      <protection locked="0"/>
    </xf>
    <xf numFmtId="190" fontId="22" fillId="34" borderId="0" xfId="0" applyNumberFormat="1" applyFont="1" applyFill="1" applyProtection="1">
      <protection locked="0"/>
    </xf>
    <xf numFmtId="0" fontId="0" fillId="34" borderId="0" xfId="0" applyFill="1" applyAlignment="1" applyProtection="1">
      <alignment horizontal="center"/>
      <protection locked="0"/>
    </xf>
    <xf numFmtId="0" fontId="22" fillId="34" borderId="0" xfId="0" applyFont="1" applyFill="1" applyProtection="1">
      <protection locked="0"/>
    </xf>
    <xf numFmtId="170" fontId="125" fillId="34" borderId="29" xfId="0" applyNumberFormat="1" applyFont="1" applyFill="1" applyBorder="1" applyAlignment="1" applyProtection="1">
      <alignment horizontal="center"/>
      <protection locked="0"/>
    </xf>
    <xf numFmtId="176" fontId="125" fillId="34" borderId="0" xfId="267" applyNumberFormat="1" applyFont="1" applyFill="1" applyProtection="1">
      <protection locked="0"/>
    </xf>
    <xf numFmtId="198" fontId="161" fillId="31" borderId="0" xfId="0" applyNumberFormat="1" applyFont="1" applyFill="1" applyAlignment="1">
      <alignment horizontal="right"/>
    </xf>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173" fontId="14" fillId="0" borderId="28" xfId="95" applyNumberFormat="1" applyFont="1" applyFill="1" applyBorder="1" applyProtection="1"/>
    <xf numFmtId="173" fontId="14" fillId="0" borderId="18" xfId="95" applyNumberFormat="1" applyFont="1" applyFill="1" applyBorder="1" applyProtection="1"/>
    <xf numFmtId="173" fontId="10" fillId="0" borderId="0" xfId="115" applyNumberFormat="1" applyFont="1" applyFill="1" applyProtection="1">
      <protection locked="0"/>
    </xf>
    <xf numFmtId="0" fontId="134" fillId="0" borderId="0" xfId="0" applyFont="1" applyAlignment="1">
      <alignment vertical="center"/>
    </xf>
    <xf numFmtId="0" fontId="83" fillId="0" borderId="0" xfId="211" applyNumberFormat="1" applyFont="1" applyFill="1" applyBorder="1" applyAlignment="1">
      <alignment horizontal="center"/>
    </xf>
    <xf numFmtId="173" fontId="80" fillId="0" borderId="0" xfId="258" applyNumberFormat="1" applyFont="1" applyFill="1" applyBorder="1" applyProtection="1">
      <protection locked="0"/>
    </xf>
    <xf numFmtId="0" fontId="73" fillId="0" borderId="0" xfId="258" applyFont="1" applyFill="1" applyAlignment="1" applyProtection="1">
      <alignment horizontal="center"/>
      <protection locked="0"/>
    </xf>
    <xf numFmtId="0" fontId="135" fillId="0" borderId="0" xfId="0" applyNumberFormat="1" applyFont="1" applyAlignment="1">
      <alignment horizontal="center"/>
    </xf>
    <xf numFmtId="172" fontId="14" fillId="0" borderId="0" xfId="254" applyFont="1" applyAlignment="1"/>
    <xf numFmtId="173" fontId="14" fillId="0" borderId="0" xfId="0" applyNumberFormat="1" applyFont="1" applyAlignment="1"/>
    <xf numFmtId="0" fontId="14" fillId="0" borderId="0" xfId="260" applyFont="1"/>
    <xf numFmtId="0" fontId="14" fillId="0" borderId="0" xfId="0" applyNumberFormat="1" applyFont="1" applyAlignment="1">
      <alignment horizontal="center"/>
    </xf>
    <xf numFmtId="0" fontId="14" fillId="0" borderId="14" xfId="0" applyNumberFormat="1" applyFont="1" applyBorder="1" applyAlignment="1">
      <alignment horizontal="center"/>
    </xf>
    <xf numFmtId="0" fontId="14" fillId="0" borderId="11" xfId="260" applyFont="1" applyBorder="1"/>
    <xf numFmtId="0" fontId="14" fillId="0" borderId="33" xfId="0" applyNumberFormat="1" applyFont="1" applyBorder="1" applyAlignment="1">
      <alignment horizontal="center"/>
    </xf>
    <xf numFmtId="0" fontId="14" fillId="0" borderId="0" xfId="260" applyFont="1" applyBorder="1"/>
    <xf numFmtId="0" fontId="14" fillId="0" borderId="34" xfId="0" applyNumberFormat="1" applyFont="1" applyBorder="1" applyAlignment="1">
      <alignment horizontal="center"/>
    </xf>
    <xf numFmtId="0" fontId="14" fillId="0" borderId="0" xfId="260" quotePrefix="1" applyFont="1" applyBorder="1" applyAlignment="1">
      <alignment horizontal="left"/>
    </xf>
    <xf numFmtId="0" fontId="135" fillId="0" borderId="0" xfId="0" applyFont="1" applyAlignment="1"/>
    <xf numFmtId="3" fontId="14" fillId="0" borderId="35" xfId="211" applyNumberFormat="1" applyFont="1" applyFill="1" applyBorder="1" applyAlignment="1">
      <alignment horizontal="center" wrapText="1"/>
    </xf>
    <xf numFmtId="3" fontId="14" fillId="0" borderId="11" xfId="211" applyNumberFormat="1" applyFont="1" applyFill="1" applyBorder="1" applyAlignment="1">
      <alignment horizontal="center" wrapText="1"/>
    </xf>
    <xf numFmtId="3" fontId="14" fillId="0" borderId="33" xfId="211" applyNumberFormat="1" applyFont="1" applyFill="1" applyBorder="1" applyAlignment="1">
      <alignment horizontal="center" wrapText="1"/>
    </xf>
    <xf numFmtId="0" fontId="11" fillId="0" borderId="0" xfId="260" applyFont="1" applyBorder="1" applyAlignment="1">
      <alignment horizontal="center"/>
    </xf>
    <xf numFmtId="0" fontId="11" fillId="0" borderId="36" xfId="260" applyFont="1" applyBorder="1" applyAlignment="1">
      <alignment horizontal="center"/>
    </xf>
    <xf numFmtId="0" fontId="11" fillId="0" borderId="34" xfId="260" applyFont="1" applyBorder="1" applyAlignment="1">
      <alignment horizontal="center"/>
    </xf>
    <xf numFmtId="0" fontId="11" fillId="0" borderId="36" xfId="260" applyFont="1" applyBorder="1" applyAlignment="1">
      <alignment horizontal="center" wrapText="1"/>
    </xf>
    <xf numFmtId="0" fontId="11" fillId="0" borderId="0" xfId="260" applyFont="1" applyBorder="1" applyAlignment="1">
      <alignment horizontal="center" wrapText="1"/>
    </xf>
    <xf numFmtId="0" fontId="11" fillId="0" borderId="34" xfId="260" applyFont="1" applyBorder="1" applyAlignment="1">
      <alignment horizontal="center" wrapText="1"/>
    </xf>
    <xf numFmtId="0" fontId="14" fillId="0" borderId="34" xfId="0" applyNumberFormat="1" applyFont="1" applyBorder="1" applyAlignment="1">
      <alignment horizontal="center" wrapText="1"/>
    </xf>
    <xf numFmtId="0" fontId="14" fillId="0" borderId="37" xfId="0" applyFont="1" applyBorder="1" applyAlignment="1"/>
    <xf numFmtId="0" fontId="14" fillId="0" borderId="2" xfId="0" applyFont="1" applyBorder="1" applyAlignment="1"/>
    <xf numFmtId="0" fontId="14" fillId="0" borderId="38" xfId="0" applyFont="1" applyBorder="1" applyAlignment="1"/>
    <xf numFmtId="0" fontId="11" fillId="0" borderId="2" xfId="260" applyFont="1" applyBorder="1" applyAlignment="1">
      <alignment horizontal="centerContinuous" wrapText="1"/>
    </xf>
    <xf numFmtId="0" fontId="14" fillId="0" borderId="38" xfId="0" applyNumberFormat="1" applyFont="1" applyBorder="1" applyAlignment="1">
      <alignment horizontal="center"/>
    </xf>
    <xf numFmtId="37" fontId="14" fillId="0" borderId="0" xfId="260" applyNumberFormat="1" applyFont="1"/>
    <xf numFmtId="0" fontId="14" fillId="0" borderId="39" xfId="260" applyFont="1" applyBorder="1" applyAlignment="1">
      <alignment horizontal="right"/>
    </xf>
    <xf numFmtId="0" fontId="14" fillId="0" borderId="40" xfId="0" applyNumberFormat="1" applyFont="1" applyBorder="1" applyAlignment="1">
      <alignment horizontal="center"/>
    </xf>
    <xf numFmtId="0" fontId="14" fillId="0" borderId="35" xfId="260" applyFont="1" applyBorder="1"/>
    <xf numFmtId="0" fontId="14" fillId="0" borderId="36" xfId="260" applyFont="1" applyBorder="1"/>
    <xf numFmtId="0" fontId="14" fillId="0" borderId="36" xfId="260" quotePrefix="1" applyFont="1" applyBorder="1" applyAlignment="1">
      <alignment horizontal="left"/>
    </xf>
    <xf numFmtId="3" fontId="26" fillId="0" borderId="35" xfId="211" applyNumberFormat="1" applyFont="1" applyFill="1" applyBorder="1" applyAlignment="1">
      <alignment horizontal="center" wrapText="1"/>
    </xf>
    <xf numFmtId="3" fontId="26" fillId="0" borderId="11" xfId="211" applyNumberFormat="1" applyFont="1" applyFill="1" applyBorder="1" applyAlignment="1">
      <alignment horizontal="center" wrapText="1"/>
    </xf>
    <xf numFmtId="0" fontId="11" fillId="0" borderId="36" xfId="248" applyFont="1" applyFill="1" applyBorder="1" applyAlignment="1">
      <alignment horizontal="center" wrapText="1"/>
    </xf>
    <xf numFmtId="0" fontId="14" fillId="0" borderId="0" xfId="0" applyFont="1" applyAlignment="1">
      <alignment wrapText="1"/>
    </xf>
    <xf numFmtId="0" fontId="11" fillId="0" borderId="37" xfId="260" applyFont="1" applyBorder="1" applyAlignment="1">
      <alignment horizontal="center" wrapText="1"/>
    </xf>
    <xf numFmtId="0" fontId="14" fillId="0" borderId="38" xfId="0" applyNumberFormat="1" applyFont="1" applyBorder="1" applyAlignment="1">
      <alignment horizontal="center" wrapText="1"/>
    </xf>
    <xf numFmtId="0" fontId="11" fillId="0" borderId="0" xfId="260" applyFont="1" applyAlignment="1">
      <alignment horizontal="centerContinuous"/>
    </xf>
    <xf numFmtId="0" fontId="14" fillId="0" borderId="0" xfId="189" applyFont="1"/>
    <xf numFmtId="0" fontId="11" fillId="0" borderId="0" xfId="260" applyFont="1" applyAlignment="1">
      <alignment horizontal="center"/>
    </xf>
    <xf numFmtId="0" fontId="14" fillId="0" borderId="0" xfId="260" applyFont="1" applyFill="1" applyAlignment="1">
      <alignment horizontal="left"/>
    </xf>
    <xf numFmtId="0" fontId="14" fillId="0" borderId="0" xfId="0" applyFont="1" applyAlignment="1">
      <alignment horizontal="right"/>
    </xf>
    <xf numFmtId="0" fontId="14" fillId="0" borderId="0" xfId="211" applyFont="1" applyFill="1" applyBorder="1" applyAlignment="1">
      <alignment horizontal="left"/>
    </xf>
    <xf numFmtId="0" fontId="19" fillId="0" borderId="0" xfId="211" applyFont="1" applyBorder="1" applyAlignment="1">
      <alignment horizontal="center" vertical="center"/>
    </xf>
    <xf numFmtId="0" fontId="19" fillId="0" borderId="0" xfId="249" applyFont="1" applyAlignment="1">
      <alignment horizontal="center" vertical="center" wrapText="1"/>
    </xf>
    <xf numFmtId="0" fontId="19" fillId="0" borderId="0" xfId="211" quotePrefix="1" applyFont="1" applyBorder="1" applyAlignment="1">
      <alignment horizontal="center" vertical="center" wrapText="1"/>
    </xf>
    <xf numFmtId="0" fontId="19" fillId="0" borderId="0" xfId="211"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8" fillId="0" borderId="0" xfId="260" applyFont="1" applyAlignment="1">
      <alignment horizontal="centerContinuous"/>
    </xf>
    <xf numFmtId="0" fontId="17" fillId="0" borderId="0" xfId="260" applyFont="1" applyFill="1" applyAlignment="1">
      <alignment horizontal="left"/>
    </xf>
    <xf numFmtId="0" fontId="98" fillId="0" borderId="0" xfId="260" applyFont="1" applyAlignment="1">
      <alignment horizontal="center"/>
    </xf>
    <xf numFmtId="0" fontId="11" fillId="0" borderId="41" xfId="260" applyFont="1" applyBorder="1" applyAlignment="1">
      <alignment horizontal="center" wrapText="1"/>
    </xf>
    <xf numFmtId="0" fontId="17" fillId="0" borderId="0" xfId="0" applyFont="1" applyAlignment="1">
      <alignment wrapText="1"/>
    </xf>
    <xf numFmtId="0" fontId="11" fillId="0" borderId="10" xfId="260" applyFont="1" applyBorder="1" applyAlignment="1">
      <alignment horizontal="center"/>
    </xf>
    <xf numFmtId="0" fontId="136" fillId="0" borderId="0" xfId="0" applyFont="1" applyAlignment="1"/>
    <xf numFmtId="3" fontId="26" fillId="0" borderId="33" xfId="211" applyNumberFormat="1" applyFont="1" applyFill="1" applyBorder="1" applyAlignment="1">
      <alignment horizontal="center" wrapText="1"/>
    </xf>
    <xf numFmtId="3" fontId="26" fillId="0" borderId="42" xfId="211" applyNumberFormat="1" applyFont="1" applyFill="1" applyBorder="1" applyAlignment="1">
      <alignment wrapText="1"/>
    </xf>
    <xf numFmtId="41" fontId="14" fillId="0" borderId="10" xfId="260" applyNumberFormat="1" applyFont="1" applyFill="1" applyBorder="1"/>
    <xf numFmtId="173" fontId="14" fillId="0" borderId="43" xfId="88" applyNumberFormat="1" applyFont="1" applyBorder="1"/>
    <xf numFmtId="3" fontId="26" fillId="0" borderId="42" xfId="211" applyNumberFormat="1" applyFont="1" applyFill="1" applyBorder="1" applyAlignment="1">
      <alignment horizontal="center" wrapText="1"/>
    </xf>
    <xf numFmtId="0" fontId="17" fillId="0" borderId="0" xfId="260" applyFont="1"/>
    <xf numFmtId="37" fontId="17" fillId="0" borderId="0" xfId="260" applyNumberFormat="1" applyFont="1"/>
    <xf numFmtId="172" fontId="17" fillId="0" borderId="0" xfId="254" applyFont="1" applyAlignment="1"/>
    <xf numFmtId="0" fontId="14" fillId="0" borderId="0" xfId="251" applyFont="1" applyFill="1" applyAlignment="1" applyProtection="1">
      <alignment vertical="top"/>
    </xf>
    <xf numFmtId="0" fontId="136" fillId="0" borderId="0" xfId="0" applyNumberFormat="1" applyFont="1" applyAlignment="1">
      <alignment horizontal="center"/>
    </xf>
    <xf numFmtId="0" fontId="97" fillId="0" borderId="0" xfId="252" applyFont="1" applyFill="1" applyProtection="1"/>
    <xf numFmtId="0" fontId="98" fillId="0" borderId="0" xfId="0" applyFont="1" applyAlignment="1">
      <alignment horizontal="center"/>
    </xf>
    <xf numFmtId="0" fontId="98" fillId="0" borderId="0" xfId="0" quotePrefix="1" applyFont="1" applyAlignment="1">
      <alignment horizontal="center"/>
    </xf>
    <xf numFmtId="0" fontId="11" fillId="0" borderId="0" xfId="252" applyFont="1" applyFill="1" applyAlignment="1" applyProtection="1">
      <alignment horizontal="left"/>
    </xf>
    <xf numFmtId="173" fontId="14" fillId="0" borderId="0" xfId="88" applyNumberFormat="1" applyFont="1" applyFill="1" applyProtection="1"/>
    <xf numFmtId="0" fontId="14" fillId="0" borderId="0" xfId="252" applyFont="1" applyFill="1" applyProtection="1"/>
    <xf numFmtId="0" fontId="14" fillId="0" borderId="0" xfId="183"/>
    <xf numFmtId="0" fontId="14" fillId="0" borderId="0" xfId="252" applyFont="1" applyFill="1" applyAlignment="1" applyProtection="1">
      <alignment horizontal="left"/>
    </xf>
    <xf numFmtId="173" fontId="10" fillId="34" borderId="0" xfId="88" applyNumberFormat="1" applyFont="1" applyFill="1" applyProtection="1">
      <protection locked="0"/>
    </xf>
    <xf numFmtId="0" fontId="14" fillId="0" borderId="0" xfId="251" applyFont="1" applyFill="1" applyAlignment="1" applyProtection="1">
      <alignment horizontal="left"/>
    </xf>
    <xf numFmtId="173" fontId="10" fillId="0" borderId="0" xfId="88" applyNumberFormat="1" applyFont="1" applyFill="1" applyProtection="1">
      <protection locked="0"/>
    </xf>
    <xf numFmtId="0" fontId="14" fillId="0" borderId="0" xfId="183" applyProtection="1"/>
    <xf numFmtId="10" fontId="14" fillId="0" borderId="0" xfId="267" applyNumberFormat="1" applyFont="1" applyFill="1" applyBorder="1" applyProtection="1"/>
    <xf numFmtId="10" fontId="11" fillId="0" borderId="0" xfId="267" applyNumberFormat="1" applyFont="1" applyFill="1" applyBorder="1" applyProtection="1"/>
    <xf numFmtId="0" fontId="11" fillId="0" borderId="0" xfId="252" applyFont="1" applyFill="1" applyProtection="1"/>
    <xf numFmtId="173" fontId="14" fillId="0" borderId="0" xfId="267" applyNumberFormat="1" applyFont="1" applyFill="1" applyBorder="1" applyProtection="1"/>
    <xf numFmtId="10" fontId="11" fillId="0" borderId="44" xfId="267" applyNumberFormat="1" applyFont="1" applyFill="1" applyBorder="1" applyProtection="1"/>
    <xf numFmtId="0" fontId="107" fillId="0" borderId="0" xfId="183" applyFont="1" applyAlignment="1" applyProtection="1">
      <alignment horizontal="center"/>
    </xf>
    <xf numFmtId="0" fontId="17" fillId="0" borderId="0" xfId="252" applyFont="1" applyFill="1" applyProtection="1"/>
    <xf numFmtId="0" fontId="17" fillId="0" borderId="0" xfId="252" applyFont="1" applyProtection="1"/>
    <xf numFmtId="41" fontId="11" fillId="0" borderId="0" xfId="252" applyNumberFormat="1" applyFont="1" applyFill="1" applyBorder="1" applyAlignment="1" applyProtection="1">
      <alignment horizontal="center" wrapText="1"/>
    </xf>
    <xf numFmtId="0" fontId="10" fillId="34" borderId="0" xfId="252" applyFont="1" applyFill="1" applyProtection="1">
      <protection locked="0"/>
    </xf>
    <xf numFmtId="173" fontId="17" fillId="0" borderId="0" xfId="252" applyNumberFormat="1" applyFont="1" applyFill="1" applyProtection="1"/>
    <xf numFmtId="197" fontId="10" fillId="34" borderId="0" xfId="252" applyNumberFormat="1" applyFont="1" applyFill="1" applyProtection="1">
      <protection locked="0"/>
    </xf>
    <xf numFmtId="37" fontId="10" fillId="34" borderId="0" xfId="252" applyNumberFormat="1" applyFont="1" applyFill="1" applyProtection="1">
      <protection locked="0"/>
    </xf>
    <xf numFmtId="173" fontId="10" fillId="34" borderId="0" xfId="252" applyNumberFormat="1" applyFont="1" applyFill="1" applyProtection="1">
      <protection locked="0"/>
    </xf>
    <xf numFmtId="0" fontId="87" fillId="34" borderId="0" xfId="252" applyFont="1" applyFill="1" applyProtection="1">
      <protection locked="0"/>
    </xf>
    <xf numFmtId="0" fontId="14" fillId="0" borderId="11" xfId="0" applyFont="1" applyBorder="1" applyProtection="1"/>
    <xf numFmtId="0" fontId="17" fillId="0" borderId="11" xfId="252" applyFont="1" applyFill="1" applyBorder="1" applyProtection="1"/>
    <xf numFmtId="0" fontId="14" fillId="31" borderId="0" xfId="252" applyFont="1" applyFill="1" applyAlignment="1" applyProtection="1">
      <alignment horizontal="left"/>
    </xf>
    <xf numFmtId="41" fontId="14" fillId="0" borderId="0" xfId="267" applyNumberFormat="1" applyFont="1" applyFill="1" applyBorder="1" applyProtection="1"/>
    <xf numFmtId="173" fontId="17" fillId="0" borderId="0" xfId="252" applyNumberFormat="1" applyFont="1" applyProtection="1"/>
    <xf numFmtId="186" fontId="14" fillId="0" borderId="0" xfId="88" applyNumberFormat="1" applyFont="1" applyFill="1" applyBorder="1" applyProtection="1"/>
    <xf numFmtId="10" fontId="17" fillId="0" borderId="0" xfId="267"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7" fillId="0" borderId="0" xfId="252" applyFont="1" applyFill="1" applyAlignment="1" applyProtection="1">
      <alignment horizontal="left"/>
    </xf>
    <xf numFmtId="0" fontId="17" fillId="0" borderId="0" xfId="252" applyFont="1" applyFill="1" applyAlignment="1" applyProtection="1">
      <alignment horizontal="left"/>
    </xf>
    <xf numFmtId="0" fontId="19" fillId="0" borderId="0" xfId="252" applyFont="1" applyFill="1" applyAlignment="1" applyProtection="1">
      <alignment horizontal="left"/>
    </xf>
    <xf numFmtId="0" fontId="19" fillId="0" borderId="0" xfId="252" applyFont="1" applyFill="1" applyAlignment="1" applyProtection="1">
      <alignment horizontal="center" wrapText="1"/>
    </xf>
    <xf numFmtId="0" fontId="14" fillId="0" borderId="0" xfId="252" applyFill="1" applyProtection="1"/>
    <xf numFmtId="164" fontId="10" fillId="34" borderId="0" xfId="267" applyNumberFormat="1" applyFont="1" applyFill="1" applyAlignment="1" applyProtection="1">
      <alignment horizontal="right" wrapText="1"/>
      <protection locked="0"/>
    </xf>
    <xf numFmtId="44" fontId="10" fillId="34" borderId="0" xfId="118" applyFont="1" applyFill="1" applyAlignment="1" applyProtection="1">
      <alignment horizontal="right" wrapText="1"/>
      <protection locked="0"/>
    </xf>
    <xf numFmtId="41" fontId="10" fillId="0" borderId="0" xfId="252"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2" applyNumberFormat="1" applyFill="1" applyBorder="1" applyProtection="1"/>
    <xf numFmtId="41" fontId="98" fillId="0" borderId="0" xfId="252" applyNumberFormat="1" applyFont="1" applyFill="1" applyProtection="1"/>
    <xf numFmtId="41" fontId="14" fillId="0" borderId="12" xfId="252" applyNumberFormat="1" applyFont="1" applyFill="1" applyBorder="1" applyProtection="1"/>
    <xf numFmtId="41" fontId="11" fillId="0" borderId="41" xfId="252" applyNumberFormat="1" applyFont="1" applyFill="1" applyBorder="1" applyProtection="1"/>
    <xf numFmtId="0" fontId="11" fillId="0" borderId="0" xfId="252"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14"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4" fillId="0" borderId="0" xfId="0" applyNumberFormat="1" applyFont="1" applyFill="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7" fontId="14" fillId="0" borderId="0" xfId="249"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63" fillId="0" borderId="0" xfId="257" applyNumberFormat="1" applyFont="1" applyFill="1" applyAlignment="1" applyProtection="1">
      <alignment horizontal="center"/>
    </xf>
    <xf numFmtId="172" fontId="164" fillId="0" borderId="0" xfId="257" applyFont="1" applyFill="1" applyAlignment="1" applyProtection="1"/>
    <xf numFmtId="199" fontId="10" fillId="34" borderId="0" xfId="249" applyNumberFormat="1" applyFont="1" applyFill="1" applyProtection="1">
      <protection locked="0"/>
    </xf>
    <xf numFmtId="0" fontId="165" fillId="0" borderId="0" xfId="0" applyFont="1" applyFill="1" applyAlignment="1">
      <alignment horizontal="left"/>
    </xf>
    <xf numFmtId="10" fontId="73" fillId="34" borderId="0" xfId="266" applyNumberFormat="1" applyFont="1" applyFill="1" applyAlignment="1" applyProtection="1">
      <alignment horizontal="center"/>
      <protection locked="0"/>
    </xf>
    <xf numFmtId="173" fontId="20" fillId="0" borderId="0" xfId="258" applyNumberFormat="1" applyFont="1"/>
    <xf numFmtId="0" fontId="20" fillId="0" borderId="0" xfId="258" applyNumberFormat="1" applyFont="1" applyAlignment="1">
      <alignment horizontal="center" vertical="center"/>
    </xf>
    <xf numFmtId="0" fontId="20" fillId="0" borderId="0" xfId="258" applyNumberFormat="1" applyFont="1" applyAlignment="1">
      <alignment vertical="center"/>
    </xf>
    <xf numFmtId="0" fontId="73" fillId="0" borderId="0" xfId="258" applyFont="1" applyFill="1" applyAlignment="1">
      <alignment horizontal="center"/>
    </xf>
    <xf numFmtId="0" fontId="166" fillId="0" borderId="0" xfId="258" applyFont="1" applyFill="1" applyAlignment="1">
      <alignment horizontal="right"/>
    </xf>
    <xf numFmtId="173" fontId="166" fillId="0" borderId="0" xfId="258" applyNumberFormat="1" applyFont="1" applyFill="1"/>
    <xf numFmtId="0" fontId="20" fillId="0" borderId="0" xfId="258" applyFont="1" applyAlignment="1">
      <alignment horizontal="left" indent="2"/>
    </xf>
    <xf numFmtId="173" fontId="167" fillId="0" borderId="0" xfId="258" applyNumberFormat="1" applyFont="1" applyBorder="1"/>
    <xf numFmtId="173" fontId="167" fillId="0" borderId="0" xfId="258" applyNumberFormat="1" applyFont="1"/>
    <xf numFmtId="0" fontId="141" fillId="0" borderId="0" xfId="258" applyNumberFormat="1" applyFont="1" applyAlignment="1">
      <alignment horizontal="center"/>
    </xf>
    <xf numFmtId="0" fontId="141" fillId="0" borderId="0" xfId="258" applyNumberFormat="1" applyFont="1"/>
    <xf numFmtId="0" fontId="142" fillId="0" borderId="0" xfId="258" applyFont="1"/>
    <xf numFmtId="0" fontId="141" fillId="0" borderId="0" xfId="258" applyFont="1" applyFill="1" applyBorder="1"/>
    <xf numFmtId="0" fontId="141" fillId="0" borderId="0" xfId="258" applyFont="1"/>
    <xf numFmtId="173" fontId="141" fillId="0" borderId="0" xfId="258" applyNumberFormat="1" applyFont="1" applyBorder="1"/>
    <xf numFmtId="173" fontId="141" fillId="0" borderId="0" xfId="258" applyNumberFormat="1" applyFont="1" applyFill="1" applyBorder="1"/>
    <xf numFmtId="0" fontId="7" fillId="0" borderId="0" xfId="257" applyNumberFormat="1" applyFont="1" applyFill="1" applyAlignment="1" applyProtection="1">
      <alignment horizontal="left" wrapText="1"/>
    </xf>
    <xf numFmtId="0" fontId="168" fillId="0" borderId="11" xfId="258" applyNumberFormat="1" applyFont="1" applyFill="1" applyBorder="1" applyAlignment="1">
      <alignment horizontal="center"/>
    </xf>
    <xf numFmtId="0" fontId="168" fillId="0" borderId="2" xfId="258" applyNumberFormat="1" applyFont="1" applyFill="1" applyBorder="1" applyAlignment="1">
      <alignment horizontal="center"/>
    </xf>
    <xf numFmtId="0" fontId="76" fillId="0" borderId="0" xfId="258" applyFont="1" applyFill="1" applyAlignment="1">
      <alignment horizontal="center" vertical="center"/>
    </xf>
    <xf numFmtId="0" fontId="20" fillId="0" borderId="11" xfId="258" applyNumberFormat="1" applyFont="1" applyBorder="1" applyAlignment="1">
      <alignment horizontal="center"/>
    </xf>
    <xf numFmtId="0" fontId="20" fillId="0" borderId="11" xfId="258" applyNumberFormat="1" applyFont="1" applyBorder="1"/>
    <xf numFmtId="0" fontId="20" fillId="0" borderId="11" xfId="258" applyFont="1" applyBorder="1"/>
    <xf numFmtId="173" fontId="80" fillId="0" borderId="11" xfId="258" applyNumberFormat="1" applyFont="1" applyFill="1" applyBorder="1" applyProtection="1">
      <protection locked="0"/>
    </xf>
    <xf numFmtId="173" fontId="73" fillId="0" borderId="11" xfId="258" applyNumberFormat="1" applyFont="1" applyFill="1" applyBorder="1"/>
    <xf numFmtId="0" fontId="73" fillId="0" borderId="11" xfId="258"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43" fillId="0" borderId="0" xfId="257" applyNumberFormat="1" applyFont="1" applyFill="1" applyAlignment="1" applyProtection="1">
      <alignment horizontal="center"/>
    </xf>
    <xf numFmtId="172" fontId="163" fillId="0" borderId="0" xfId="257" applyFont="1" applyFill="1" applyAlignment="1" applyProtection="1"/>
    <xf numFmtId="173" fontId="10" fillId="34" borderId="0" xfId="89" applyNumberFormat="1" applyFont="1" applyFill="1" applyBorder="1" applyAlignment="1" applyProtection="1">
      <alignment horizontal="left"/>
      <protection locked="0"/>
    </xf>
    <xf numFmtId="0" fontId="10" fillId="34" borderId="0" xfId="89" applyNumberFormat="1" applyFont="1" applyFill="1" applyBorder="1" applyAlignment="1" applyProtection="1">
      <alignment horizontal="center"/>
      <protection locked="0"/>
    </xf>
    <xf numFmtId="41" fontId="10" fillId="34" borderId="0" xfId="251" applyNumberFormat="1" applyFont="1" applyFill="1"/>
    <xf numFmtId="172" fontId="8" fillId="0" borderId="0" xfId="257" applyFont="1" applyFill="1" applyAlignment="1" applyProtection="1">
      <alignment horizontal="center"/>
    </xf>
    <xf numFmtId="3" fontId="8" fillId="0" borderId="0" xfId="257" applyNumberFormat="1" applyFont="1" applyFill="1" applyAlignment="1" applyProtection="1">
      <alignment horizontal="center" vertical="center"/>
    </xf>
    <xf numFmtId="0" fontId="5" fillId="0" borderId="0" xfId="257" applyNumberFormat="1" applyFont="1" applyFill="1" applyBorder="1" applyAlignment="1" applyProtection="1">
      <alignment horizontal="center"/>
    </xf>
    <xf numFmtId="3" fontId="16" fillId="0" borderId="0" xfId="257" applyNumberFormat="1" applyFont="1" applyFill="1" applyAlignment="1" applyProtection="1">
      <alignment horizontal="center"/>
    </xf>
    <xf numFmtId="0" fontId="5" fillId="0" borderId="6" xfId="257" applyNumberFormat="1" applyFont="1" applyFill="1" applyBorder="1" applyAlignment="1" applyProtection="1">
      <alignment horizontal="center"/>
    </xf>
    <xf numFmtId="0" fontId="7" fillId="0" borderId="0" xfId="257" applyNumberFormat="1" applyFont="1" applyFill="1" applyBorder="1" applyAlignment="1" applyProtection="1">
      <alignment vertical="center"/>
    </xf>
    <xf numFmtId="41" fontId="7" fillId="0" borderId="40" xfId="257"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10" fillId="0" borderId="0" xfId="0" applyFont="1" applyFill="1" applyAlignment="1" applyProtection="1">
      <alignment horizontal="center"/>
    </xf>
    <xf numFmtId="0" fontId="14" fillId="0" borderId="0" xfId="261" applyFont="1" applyFill="1" applyAlignment="1" applyProtection="1">
      <alignment horizontal="center"/>
    </xf>
    <xf numFmtId="38" fontId="10" fillId="0" borderId="0" xfId="0" applyNumberFormat="1" applyFont="1" applyFill="1" applyBorder="1" applyProtection="1">
      <protection locked="0"/>
    </xf>
    <xf numFmtId="0" fontId="8" fillId="0" borderId="0" xfId="250" applyFont="1" applyFill="1" applyBorder="1"/>
    <xf numFmtId="0" fontId="75" fillId="0" borderId="0" xfId="258" applyFont="1" applyFill="1" applyAlignment="1">
      <alignment vertical="center" wrapText="1"/>
    </xf>
    <xf numFmtId="0" fontId="8" fillId="0" borderId="0" xfId="249" quotePrefix="1" applyFont="1" applyFill="1" applyBorder="1" applyAlignment="1">
      <alignment horizontal="center"/>
    </xf>
    <xf numFmtId="0" fontId="6" fillId="0" borderId="11" xfId="258" applyNumberFormat="1" applyFont="1" applyFill="1" applyBorder="1" applyAlignment="1">
      <alignment horizontal="center" wrapText="1"/>
    </xf>
    <xf numFmtId="0" fontId="6" fillId="0" borderId="11" xfId="258" applyNumberFormat="1" applyFont="1" applyFill="1" applyBorder="1" applyAlignment="1">
      <alignment horizontal="center" vertical="center"/>
    </xf>
    <xf numFmtId="185" fontId="6" fillId="0" borderId="11" xfId="258" applyNumberFormat="1" applyFont="1" applyFill="1" applyBorder="1" applyAlignment="1">
      <alignment horizontal="center" vertical="center" wrapText="1"/>
    </xf>
    <xf numFmtId="0" fontId="6" fillId="0" borderId="11" xfId="258" applyNumberFormat="1" applyFont="1" applyFill="1" applyBorder="1" applyAlignment="1">
      <alignment horizontal="center" vertical="center" wrapText="1"/>
    </xf>
    <xf numFmtId="185" fontId="6" fillId="0" borderId="11" xfId="258" applyNumberFormat="1" applyFont="1" applyFill="1" applyBorder="1" applyAlignment="1">
      <alignment horizontal="center" vertical="center"/>
    </xf>
    <xf numFmtId="0" fontId="14" fillId="0" borderId="0" xfId="0" applyFont="1" applyFill="1" applyAlignment="1">
      <alignment vertical="center"/>
    </xf>
    <xf numFmtId="173" fontId="6" fillId="0" borderId="11" xfId="258" applyNumberFormat="1" applyFont="1" applyFill="1" applyBorder="1" applyAlignment="1">
      <alignment vertical="center"/>
    </xf>
    <xf numFmtId="173" fontId="76" fillId="0" borderId="0" xfId="258" applyNumberFormat="1" applyFont="1" applyFill="1" applyBorder="1" applyAlignment="1">
      <alignment vertical="center"/>
    </xf>
    <xf numFmtId="0" fontId="6" fillId="0" borderId="0" xfId="258" applyFont="1" applyFill="1" applyAlignment="1">
      <alignment horizontal="right" vertical="center"/>
    </xf>
    <xf numFmtId="0" fontId="73" fillId="0" borderId="0" xfId="258" applyFont="1" applyFill="1" applyAlignment="1">
      <alignment wrapText="1"/>
    </xf>
    <xf numFmtId="0" fontId="14" fillId="0" borderId="0" xfId="253" applyFont="1" applyFill="1" applyAlignment="1" applyProtection="1">
      <alignment horizontal="left"/>
    </xf>
    <xf numFmtId="0" fontId="14" fillId="0" borderId="0" xfId="183" applyFont="1" applyFill="1" applyAlignment="1" applyProtection="1">
      <alignment wrapText="1"/>
    </xf>
    <xf numFmtId="0" fontId="14" fillId="0" borderId="0" xfId="183" applyFont="1" applyFill="1" applyProtection="1"/>
    <xf numFmtId="173" fontId="73" fillId="0" borderId="0" xfId="86" applyNumberFormat="1" applyFont="1" applyFill="1" applyAlignment="1" applyProtection="1">
      <alignment horizontal="center"/>
      <protection locked="0"/>
    </xf>
    <xf numFmtId="173" fontId="14" fillId="0" borderId="0" xfId="258" applyNumberFormat="1" applyFont="1" applyFill="1"/>
    <xf numFmtId="0" fontId="14" fillId="0" borderId="0" xfId="165"/>
    <xf numFmtId="0" fontId="113" fillId="0" borderId="0" xfId="259" applyFont="1" applyProtection="1">
      <protection locked="0"/>
    </xf>
    <xf numFmtId="0" fontId="79" fillId="0" borderId="0" xfId="259" applyFont="1"/>
    <xf numFmtId="0" fontId="114" fillId="0" borderId="0" xfId="259" applyFont="1" applyAlignment="1">
      <alignment horizontal="center"/>
    </xf>
    <xf numFmtId="0" fontId="115" fillId="0" borderId="0" xfId="259" applyFont="1" applyProtection="1">
      <protection locked="0"/>
    </xf>
    <xf numFmtId="176" fontId="114" fillId="0" borderId="0" xfId="259" applyNumberFormat="1" applyFont="1" applyAlignment="1">
      <alignment horizontal="center"/>
    </xf>
    <xf numFmtId="0" fontId="114" fillId="0" borderId="0" xfId="259" applyFont="1"/>
    <xf numFmtId="0" fontId="5" fillId="0" borderId="0" xfId="259"/>
    <xf numFmtId="176" fontId="5" fillId="0" borderId="0" xfId="259" applyNumberFormat="1"/>
    <xf numFmtId="0" fontId="116" fillId="0" borderId="0" xfId="259" applyFont="1" applyProtection="1">
      <protection locked="0"/>
    </xf>
    <xf numFmtId="176" fontId="113" fillId="0" borderId="0" xfId="259" applyNumberFormat="1" applyFont="1" applyProtection="1">
      <protection locked="0"/>
    </xf>
    <xf numFmtId="0" fontId="117" fillId="0" borderId="15" xfId="259" applyFont="1" applyBorder="1"/>
    <xf numFmtId="0" fontId="113" fillId="0" borderId="15" xfId="259" applyFont="1" applyBorder="1" applyProtection="1">
      <protection locked="0"/>
    </xf>
    <xf numFmtId="0" fontId="113" fillId="0" borderId="0" xfId="259" applyFont="1" applyBorder="1" applyProtection="1">
      <protection locked="0"/>
    </xf>
    <xf numFmtId="0" fontId="5" fillId="0" borderId="0" xfId="259" applyFont="1" applyBorder="1"/>
    <xf numFmtId="0" fontId="118" fillId="0" borderId="0" xfId="259" applyFont="1" applyProtection="1">
      <protection locked="0"/>
    </xf>
    <xf numFmtId="0" fontId="119" fillId="0" borderId="0" xfId="259" applyFont="1"/>
    <xf numFmtId="0" fontId="120" fillId="0" borderId="0" xfId="259" applyFont="1"/>
    <xf numFmtId="0" fontId="145" fillId="0" borderId="0" xfId="259" applyFont="1" applyAlignment="1">
      <alignment horizontal="center"/>
    </xf>
    <xf numFmtId="0" fontId="14" fillId="0" borderId="0" xfId="165" applyAlignment="1">
      <alignment wrapText="1"/>
    </xf>
    <xf numFmtId="10" fontId="5" fillId="0" borderId="0" xfId="259" applyNumberFormat="1" applyAlignment="1" applyProtection="1">
      <alignment horizontal="center"/>
    </xf>
    <xf numFmtId="0" fontId="117" fillId="0" borderId="0" xfId="259" applyFont="1" applyBorder="1"/>
    <xf numFmtId="0" fontId="5" fillId="0" borderId="0" xfId="259" applyAlignment="1">
      <alignment horizontal="center"/>
    </xf>
    <xf numFmtId="10" fontId="5" fillId="0" borderId="0" xfId="259" applyNumberFormat="1" applyAlignment="1" applyProtection="1">
      <alignment horizontal="right"/>
    </xf>
    <xf numFmtId="195" fontId="79" fillId="0" borderId="0" xfId="259" applyNumberFormat="1" applyFont="1" applyProtection="1"/>
    <xf numFmtId="10" fontId="79" fillId="0" borderId="0" xfId="259" applyNumberFormat="1" applyFont="1" applyProtection="1"/>
    <xf numFmtId="0" fontId="5" fillId="0" borderId="0" xfId="259" applyAlignment="1"/>
    <xf numFmtId="0" fontId="5" fillId="0" borderId="0" xfId="259" applyFont="1" applyFill="1" applyBorder="1"/>
    <xf numFmtId="195" fontId="5" fillId="0" borderId="0" xfId="259" applyNumberFormat="1" applyBorder="1" applyProtection="1"/>
    <xf numFmtId="0" fontId="117" fillId="0" borderId="30" xfId="259" applyFont="1" applyBorder="1"/>
    <xf numFmtId="0" fontId="113" fillId="0" borderId="30" xfId="259" applyFont="1" applyBorder="1" applyProtection="1">
      <protection locked="0"/>
    </xf>
    <xf numFmtId="10" fontId="5" fillId="0" borderId="30" xfId="259" applyNumberFormat="1" applyBorder="1" applyProtection="1"/>
    <xf numFmtId="0" fontId="8" fillId="0" borderId="0" xfId="0" applyFont="1" applyAlignment="1"/>
    <xf numFmtId="0" fontId="7" fillId="0" borderId="0" xfId="0" applyFont="1" applyAlignment="1">
      <alignment horizontal="left" indent="1"/>
    </xf>
    <xf numFmtId="10" fontId="7" fillId="0" borderId="0" xfId="214" applyNumberFormat="1" applyFont="1" applyFill="1" applyAlignment="1">
      <alignment horizontal="center"/>
    </xf>
    <xf numFmtId="0" fontId="8" fillId="0" borderId="0" xfId="183" applyFont="1" applyAlignment="1">
      <alignment horizontal="right"/>
    </xf>
    <xf numFmtId="10" fontId="7" fillId="0" borderId="0" xfId="214"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60" applyFont="1" applyBorder="1" applyAlignment="1">
      <alignment horizontal="right"/>
    </xf>
    <xf numFmtId="0" fontId="147" fillId="0" borderId="0" xfId="0" applyFont="1" applyAlignment="1">
      <alignment vertical="center"/>
    </xf>
    <xf numFmtId="0" fontId="148" fillId="0" borderId="0" xfId="0" applyFont="1"/>
    <xf numFmtId="0" fontId="143" fillId="0" borderId="0" xfId="0" applyFont="1" applyAlignment="1"/>
    <xf numFmtId="0" fontId="143" fillId="0" borderId="0" xfId="0" applyFont="1" applyAlignment="1">
      <alignment horizontal="left"/>
    </xf>
    <xf numFmtId="0" fontId="143" fillId="0" borderId="0" xfId="211" applyFont="1" applyBorder="1" applyAlignment="1">
      <alignment horizontal="center"/>
    </xf>
    <xf numFmtId="0" fontId="148" fillId="0" borderId="0" xfId="0" applyFont="1" applyAlignment="1">
      <alignment horizontal="center"/>
    </xf>
    <xf numFmtId="0" fontId="149" fillId="0" borderId="0" xfId="211" applyFont="1" applyBorder="1" applyAlignment="1"/>
    <xf numFmtId="0" fontId="143" fillId="0" borderId="0" xfId="211" applyFont="1" applyBorder="1" applyAlignment="1">
      <alignment horizontal="left"/>
    </xf>
    <xf numFmtId="0" fontId="143" fillId="0" borderId="0" xfId="211" applyFont="1" applyBorder="1" applyAlignment="1"/>
    <xf numFmtId="3" fontId="143" fillId="0" borderId="0" xfId="0" applyNumberFormat="1" applyFont="1" applyAlignment="1"/>
    <xf numFmtId="3" fontId="143" fillId="0" borderId="0" xfId="0" applyNumberFormat="1" applyFont="1" applyAlignment="1">
      <alignment horizontal="left"/>
    </xf>
    <xf numFmtId="0" fontId="150" fillId="0" borderId="0" xfId="0" applyFont="1" applyAlignment="1">
      <alignment horizontal="center"/>
    </xf>
    <xf numFmtId="0" fontId="151" fillId="0" borderId="0" xfId="0" applyFont="1" applyAlignment="1"/>
    <xf numFmtId="0" fontId="150" fillId="0" borderId="0" xfId="0" applyFont="1" applyAlignment="1">
      <alignment wrapText="1"/>
    </xf>
    <xf numFmtId="0" fontId="150" fillId="0" borderId="0" xfId="0" applyFont="1"/>
    <xf numFmtId="41" fontId="148" fillId="0" borderId="0" xfId="0" applyNumberFormat="1" applyFont="1"/>
    <xf numFmtId="41" fontId="151" fillId="0" borderId="0" xfId="0" applyNumberFormat="1" applyFont="1" applyAlignment="1"/>
    <xf numFmtId="0" fontId="152" fillId="0" borderId="0" xfId="0" applyFont="1" applyAlignment="1">
      <alignment horizontal="center"/>
    </xf>
    <xf numFmtId="0" fontId="153" fillId="0" borderId="0" xfId="0" applyFont="1" applyFill="1" applyAlignment="1">
      <alignment horizontal="center"/>
    </xf>
    <xf numFmtId="0" fontId="154" fillId="0" borderId="0" xfId="0" applyFont="1" applyAlignment="1">
      <alignment horizontal="center"/>
    </xf>
    <xf numFmtId="0" fontId="151" fillId="0" borderId="0" xfId="0" applyFont="1" applyFill="1"/>
    <xf numFmtId="173" fontId="155" fillId="34" borderId="0" xfId="111" applyNumberFormat="1" applyFont="1" applyFill="1" applyProtection="1">
      <protection locked="0"/>
    </xf>
    <xf numFmtId="41" fontId="148" fillId="0" borderId="0" xfId="0" applyNumberFormat="1" applyFont="1" applyAlignment="1"/>
    <xf numFmtId="173" fontId="148" fillId="0" borderId="0" xfId="0" applyNumberFormat="1" applyFont="1"/>
    <xf numFmtId="0" fontId="148" fillId="0" borderId="0" xfId="0" applyFont="1" applyAlignment="1">
      <alignment wrapText="1"/>
    </xf>
    <xf numFmtId="0" fontId="148" fillId="0" borderId="0" xfId="0" applyFont="1" applyAlignment="1"/>
    <xf numFmtId="0" fontId="148" fillId="0" borderId="11" xfId="0" applyFont="1" applyBorder="1"/>
    <xf numFmtId="0" fontId="151" fillId="0" borderId="11" xfId="0" applyFont="1" applyFill="1" applyBorder="1"/>
    <xf numFmtId="0" fontId="151" fillId="0" borderId="11" xfId="0" applyFont="1" applyBorder="1" applyAlignment="1"/>
    <xf numFmtId="0" fontId="148" fillId="0" borderId="11" xfId="0" applyFont="1" applyBorder="1" applyAlignment="1"/>
    <xf numFmtId="41" fontId="151" fillId="0" borderId="0" xfId="0" applyNumberFormat="1" applyFont="1" applyFill="1"/>
    <xf numFmtId="0" fontId="151" fillId="0" borderId="0" xfId="0" applyFont="1" applyAlignment="1">
      <alignment horizontal="center"/>
    </xf>
    <xf numFmtId="191" fontId="151" fillId="0" borderId="0" xfId="111" applyNumberFormat="1" applyFont="1" applyAlignment="1">
      <alignment horizontal="center"/>
    </xf>
    <xf numFmtId="0" fontId="148" fillId="0" borderId="0" xfId="0" applyFont="1" applyBorder="1"/>
    <xf numFmtId="173" fontId="148" fillId="0" borderId="14" xfId="0" applyNumberFormat="1" applyFont="1" applyBorder="1"/>
    <xf numFmtId="173" fontId="151" fillId="0" borderId="14" xfId="0" applyNumberFormat="1" applyFont="1" applyFill="1" applyBorder="1"/>
    <xf numFmtId="41" fontId="148" fillId="0" borderId="14" xfId="0" applyNumberFormat="1" applyFont="1" applyBorder="1" applyAlignment="1"/>
    <xf numFmtId="43" fontId="151" fillId="0" borderId="0" xfId="0" applyNumberFormat="1" applyFont="1" applyAlignment="1"/>
    <xf numFmtId="0" fontId="151" fillId="0" borderId="0" xfId="0" applyFont="1" applyAlignment="1">
      <alignment wrapText="1"/>
    </xf>
    <xf numFmtId="0" fontId="150" fillId="0" borderId="0" xfId="0" applyFont="1" applyAlignment="1">
      <alignment horizontal="center" wrapText="1"/>
    </xf>
    <xf numFmtId="43" fontId="150" fillId="0" borderId="0" xfId="111" applyFont="1" applyAlignment="1">
      <alignment horizontal="center" wrapText="1"/>
    </xf>
    <xf numFmtId="173" fontId="148" fillId="0" borderId="0" xfId="0" applyNumberFormat="1" applyFont="1" applyBorder="1"/>
    <xf numFmtId="173" fontId="148" fillId="0" borderId="0" xfId="111" applyNumberFormat="1" applyFont="1"/>
    <xf numFmtId="173" fontId="150" fillId="0" borderId="0" xfId="111" applyNumberFormat="1" applyFont="1" applyAlignment="1">
      <alignment horizontal="center" wrapText="1"/>
    </xf>
    <xf numFmtId="173" fontId="150" fillId="0" borderId="0" xfId="111" applyNumberFormat="1" applyFont="1"/>
    <xf numFmtId="173" fontId="150" fillId="0" borderId="0" xfId="111" applyNumberFormat="1" applyFont="1" applyAlignment="1">
      <alignment horizontal="center"/>
    </xf>
    <xf numFmtId="0" fontId="7" fillId="0" borderId="0" xfId="257" applyNumberFormat="1" applyFont="1" applyFill="1" applyAlignment="1" applyProtection="1">
      <alignment horizontal="left" indent="4"/>
    </xf>
    <xf numFmtId="41" fontId="21" fillId="0" borderId="0" xfId="257" applyNumberFormat="1" applyFont="1" applyFill="1" applyAlignment="1" applyProtection="1">
      <protection locked="0"/>
    </xf>
    <xf numFmtId="173" fontId="65" fillId="0" borderId="0" xfId="86" applyNumberFormat="1" applyFont="1"/>
    <xf numFmtId="0" fontId="65" fillId="0" borderId="0" xfId="211" applyFont="1" applyBorder="1"/>
    <xf numFmtId="173" fontId="65" fillId="0" borderId="0" xfId="86" applyNumberFormat="1" applyFont="1" applyFill="1"/>
    <xf numFmtId="37" fontId="65" fillId="0" borderId="16" xfId="0" applyNumberFormat="1" applyFont="1" applyFill="1" applyBorder="1"/>
    <xf numFmtId="0" fontId="76" fillId="34" borderId="0" xfId="258" applyFont="1" applyFill="1"/>
    <xf numFmtId="10" fontId="73" fillId="34" borderId="0" xfId="258" applyNumberFormat="1" applyFont="1" applyFill="1" applyAlignment="1" applyProtection="1">
      <alignment horizontal="right"/>
      <protection locked="0"/>
    </xf>
    <xf numFmtId="0" fontId="65" fillId="0" borderId="0" xfId="249" applyFont="1" applyFill="1" applyBorder="1"/>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4" xfId="89" applyNumberFormat="1" applyFont="1" applyFill="1" applyBorder="1" applyAlignment="1">
      <alignment horizontal="right"/>
    </xf>
    <xf numFmtId="3" fontId="130" fillId="34" borderId="0" xfId="0" applyNumberFormat="1" applyFont="1" applyFill="1" applyProtection="1">
      <protection locked="0"/>
    </xf>
    <xf numFmtId="3" fontId="65" fillId="34" borderId="0" xfId="0" applyNumberFormat="1" applyFont="1" applyFill="1" applyProtection="1">
      <protection locked="0"/>
    </xf>
    <xf numFmtId="0" fontId="65" fillId="34" borderId="0" xfId="0" applyNumberFormat="1" applyFont="1" applyFill="1" applyAlignment="1" applyProtection="1">
      <alignment horizontal="left"/>
      <protection locked="0"/>
    </xf>
    <xf numFmtId="3" fontId="130" fillId="34" borderId="0" xfId="0" applyNumberFormat="1" applyFont="1" applyFill="1" applyProtection="1">
      <protection locked="0"/>
    </xf>
    <xf numFmtId="37" fontId="130" fillId="34" borderId="0" xfId="0" applyNumberFormat="1" applyFont="1" applyFill="1" applyProtection="1">
      <protection locked="0"/>
    </xf>
    <xf numFmtId="3" fontId="65" fillId="34" borderId="0" xfId="0" applyNumberFormat="1" applyFont="1" applyFill="1" applyProtection="1">
      <protection locked="0"/>
    </xf>
    <xf numFmtId="3" fontId="65" fillId="34" borderId="0" xfId="0" quotePrefix="1" applyNumberFormat="1" applyFont="1" applyFill="1" applyBorder="1" applyProtection="1">
      <protection locked="0"/>
    </xf>
    <xf numFmtId="0" fontId="65" fillId="34" borderId="0" xfId="0" applyFont="1" applyFill="1" applyBorder="1" applyProtection="1">
      <protection locked="0"/>
    </xf>
    <xf numFmtId="0" fontId="65" fillId="34" borderId="0" xfId="0" applyFont="1" applyFill="1" applyBorder="1" applyAlignment="1" applyProtection="1">
      <alignment horizontal="left"/>
      <protection locked="0"/>
    </xf>
    <xf numFmtId="3" fontId="65" fillId="34" borderId="0" xfId="0" applyNumberFormat="1" applyFont="1" applyFill="1" applyProtection="1">
      <protection locked="0"/>
    </xf>
    <xf numFmtId="0" fontId="65" fillId="34" borderId="0" xfId="0" applyNumberFormat="1" applyFont="1" applyFill="1" applyAlignment="1" applyProtection="1">
      <alignment horizontal="left"/>
      <protection locked="0"/>
    </xf>
    <xf numFmtId="3" fontId="65" fillId="34" borderId="0" xfId="0" quotePrefix="1" applyNumberFormat="1" applyFont="1" applyFill="1" applyProtection="1">
      <protection locked="0"/>
    </xf>
    <xf numFmtId="0" fontId="65" fillId="34" borderId="0" xfId="0" quotePrefix="1" applyFont="1" applyFill="1" applyBorder="1" applyProtection="1">
      <protection locked="0"/>
    </xf>
    <xf numFmtId="3" fontId="65" fillId="34" borderId="0" xfId="0" quotePrefix="1" applyNumberFormat="1" applyFont="1" applyFill="1" applyBorder="1" applyProtection="1">
      <protection locked="0"/>
    </xf>
    <xf numFmtId="0" fontId="65" fillId="34" borderId="0" xfId="0" applyFont="1" applyFill="1" applyBorder="1" applyProtection="1">
      <protection locked="0"/>
    </xf>
    <xf numFmtId="3" fontId="130" fillId="34" borderId="0" xfId="0" applyNumberFormat="1" applyFont="1" applyFill="1" applyProtection="1">
      <protection locked="0"/>
    </xf>
    <xf numFmtId="37" fontId="130" fillId="34" borderId="0" xfId="0" applyNumberFormat="1" applyFont="1" applyFill="1" applyProtection="1">
      <protection locked="0"/>
    </xf>
    <xf numFmtId="0" fontId="65" fillId="34" borderId="0" xfId="0" applyFont="1" applyFill="1" applyBorder="1" applyAlignment="1" applyProtection="1">
      <alignment horizontal="left"/>
      <protection locked="0"/>
    </xf>
    <xf numFmtId="3" fontId="21" fillId="34" borderId="0" xfId="0" applyNumberFormat="1" applyFont="1" applyFill="1" applyAlignment="1" applyProtection="1">
      <protection locked="0"/>
    </xf>
    <xf numFmtId="174" fontId="10" fillId="34" borderId="28" xfId="0" applyNumberFormat="1" applyFont="1" applyFill="1" applyBorder="1" applyProtection="1">
      <protection locked="0"/>
    </xf>
    <xf numFmtId="41" fontId="21" fillId="34" borderId="0" xfId="251" applyNumberFormat="1" applyFont="1" applyFill="1" applyBorder="1" applyProtection="1">
      <protection locked="0"/>
    </xf>
    <xf numFmtId="0" fontId="7" fillId="0" borderId="0" xfId="165" applyFont="1" applyFill="1" applyAlignment="1"/>
    <xf numFmtId="37" fontId="7" fillId="0" borderId="0" xfId="165" applyNumberFormat="1" applyFont="1" applyFill="1" applyAlignment="1"/>
    <xf numFmtId="37" fontId="7" fillId="0" borderId="0" xfId="165" applyNumberFormat="1" applyFont="1" applyFill="1" applyAlignment="1">
      <alignment horizontal="center"/>
    </xf>
    <xf numFmtId="0" fontId="7" fillId="31" borderId="0" xfId="165" applyFont="1" applyFill="1"/>
    <xf numFmtId="41" fontId="80" fillId="34" borderId="11" xfId="258" applyNumberFormat="1" applyFont="1" applyFill="1" applyBorder="1" applyProtection="1">
      <protection locked="0"/>
    </xf>
    <xf numFmtId="173" fontId="10" fillId="30" borderId="0" xfId="109" applyNumberFormat="1" applyFont="1" applyFill="1" applyAlignment="1" applyProtection="1">
      <protection locked="0"/>
    </xf>
    <xf numFmtId="173" fontId="10" fillId="34" borderId="0" xfId="88" applyNumberFormat="1" applyFont="1" applyFill="1" applyBorder="1" applyProtection="1">
      <protection locked="0"/>
    </xf>
    <xf numFmtId="0" fontId="10" fillId="34" borderId="0" xfId="252" applyFont="1" applyFill="1" applyProtection="1">
      <protection locked="0"/>
    </xf>
    <xf numFmtId="0" fontId="10" fillId="34" borderId="0" xfId="251" applyFont="1" applyFill="1" applyProtection="1">
      <protection locked="0"/>
    </xf>
    <xf numFmtId="41" fontId="7" fillId="0" borderId="11" xfId="257" applyNumberFormat="1" applyFont="1" applyFill="1" applyBorder="1" applyAlignment="1" applyProtection="1"/>
    <xf numFmtId="9" fontId="7" fillId="0" borderId="0" xfId="0" applyNumberFormat="1" applyFont="1" applyFill="1" applyProtection="1"/>
    <xf numFmtId="173" fontId="4" fillId="0" borderId="0" xfId="86" applyNumberFormat="1" applyFill="1"/>
    <xf numFmtId="173" fontId="4" fillId="0" borderId="0" xfId="86" applyNumberFormat="1" applyFont="1" applyFill="1"/>
    <xf numFmtId="0" fontId="4" fillId="0" borderId="0" xfId="0" applyFont="1" applyFill="1"/>
    <xf numFmtId="0" fontId="80" fillId="34" borderId="0" xfId="258" applyNumberFormat="1" applyFont="1" applyFill="1" applyBorder="1" applyProtection="1">
      <protection locked="0"/>
    </xf>
    <xf numFmtId="10" fontId="73" fillId="34" borderId="0" xfId="266" applyNumberFormat="1" applyFont="1" applyFill="1" applyAlignment="1" applyProtection="1">
      <alignment horizontal="left" indent="1"/>
      <protection locked="0"/>
    </xf>
    <xf numFmtId="0" fontId="10" fillId="34" borderId="0" xfId="89" quotePrefix="1" applyNumberFormat="1" applyFont="1" applyFill="1" applyBorder="1" applyAlignment="1" applyProtection="1">
      <alignment horizontal="center"/>
      <protection locked="0"/>
    </xf>
    <xf numFmtId="0" fontId="79" fillId="0" borderId="30" xfId="259" applyFont="1" applyBorder="1" applyAlignment="1" applyProtection="1">
      <alignment horizontal="center"/>
    </xf>
    <xf numFmtId="0" fontId="117" fillId="0" borderId="15" xfId="0" applyFont="1" applyBorder="1"/>
    <xf numFmtId="0" fontId="113" fillId="0" borderId="15" xfId="0" applyFont="1" applyBorder="1" applyProtection="1">
      <protection locked="0"/>
    </xf>
    <xf numFmtId="10" fontId="0" fillId="0" borderId="15" xfId="0" applyNumberFormat="1" applyBorder="1" applyProtection="1"/>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7" fillId="0" borderId="30" xfId="0" applyFont="1" applyBorder="1"/>
    <xf numFmtId="0" fontId="113"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6" fillId="0" borderId="0" xfId="337" applyFont="1"/>
    <xf numFmtId="0" fontId="26" fillId="0" borderId="0" xfId="337" applyFont="1" applyAlignment="1">
      <alignment horizontal="center"/>
    </xf>
    <xf numFmtId="0" fontId="26" fillId="0" borderId="0" xfId="338" applyFont="1"/>
    <xf numFmtId="0" fontId="26" fillId="0" borderId="0" xfId="337" applyFont="1" applyFill="1"/>
    <xf numFmtId="0" fontId="26" fillId="0" borderId="0" xfId="337" applyFont="1" applyBorder="1"/>
    <xf numFmtId="0" fontId="26" fillId="0" borderId="0" xfId="337" applyFont="1" applyAlignment="1">
      <alignment horizontal="left"/>
    </xf>
    <xf numFmtId="0" fontId="26" fillId="0" borderId="0" xfId="337" applyFont="1" applyAlignment="1">
      <alignment horizontal="left" vertical="center"/>
    </xf>
    <xf numFmtId="0" fontId="26" fillId="0" borderId="0" xfId="337" applyFont="1" applyAlignment="1"/>
    <xf numFmtId="172" fontId="171" fillId="0" borderId="0" xfId="352"/>
    <xf numFmtId="0" fontId="26" fillId="0" borderId="0" xfId="351" applyFont="1"/>
    <xf numFmtId="0" fontId="26" fillId="0" borderId="0" xfId="351" applyFont="1" applyAlignment="1">
      <alignment horizontal="center"/>
    </xf>
    <xf numFmtId="14" fontId="26" fillId="0" borderId="0" xfId="351" applyNumberFormat="1" applyFont="1"/>
    <xf numFmtId="0" fontId="26" fillId="0" borderId="0" xfId="338" applyFont="1"/>
    <xf numFmtId="9" fontId="26" fillId="0" borderId="0" xfId="339" applyFont="1"/>
    <xf numFmtId="41" fontId="26" fillId="0" borderId="0" xfId="351" applyNumberFormat="1" applyFont="1"/>
    <xf numFmtId="10" fontId="26" fillId="0" borderId="0" xfId="340" applyNumberFormat="1" applyFont="1"/>
    <xf numFmtId="172" fontId="26" fillId="0" borderId="0" xfId="352" applyFont="1" applyAlignment="1"/>
    <xf numFmtId="0" fontId="27" fillId="0" borderId="0" xfId="351" applyFont="1"/>
    <xf numFmtId="172" fontId="171" fillId="0" borderId="0" xfId="352" applyAlignment="1"/>
    <xf numFmtId="0" fontId="26" fillId="0" borderId="11" xfId="351" applyFont="1" applyBorder="1"/>
    <xf numFmtId="0" fontId="27" fillId="0" borderId="11" xfId="351" applyFont="1" applyBorder="1" applyAlignment="1">
      <alignment horizontal="center"/>
    </xf>
    <xf numFmtId="0" fontId="27" fillId="0" borderId="11" xfId="351" applyFont="1" applyBorder="1" applyAlignment="1">
      <alignment horizontal="center" wrapText="1"/>
    </xf>
    <xf numFmtId="0" fontId="27" fillId="0" borderId="50" xfId="351" applyFont="1" applyBorder="1" applyAlignment="1">
      <alignment horizontal="center" wrapText="1"/>
    </xf>
    <xf numFmtId="0" fontId="27" fillId="0" borderId="11" xfId="351" applyFont="1" applyFill="1" applyBorder="1" applyAlignment="1">
      <alignment horizontal="center" wrapText="1"/>
    </xf>
    <xf numFmtId="0" fontId="27" fillId="0" borderId="0" xfId="351" applyFont="1" applyAlignment="1">
      <alignment horizontal="center"/>
    </xf>
    <xf numFmtId="0" fontId="27" fillId="0" borderId="0" xfId="351" applyFont="1" applyFill="1" applyBorder="1" applyAlignment="1">
      <alignment horizontal="center" wrapText="1"/>
    </xf>
    <xf numFmtId="0" fontId="27" fillId="0" borderId="0" xfId="351" applyFont="1" applyBorder="1" applyAlignment="1">
      <alignment horizontal="center" wrapText="1"/>
    </xf>
    <xf numFmtId="0" fontId="27" fillId="0" borderId="0" xfId="351" applyFont="1" applyAlignment="1">
      <alignment horizontal="left"/>
    </xf>
    <xf numFmtId="0" fontId="26" fillId="37" borderId="0" xfId="351" applyFont="1" applyFill="1"/>
    <xf numFmtId="0" fontId="26" fillId="0" borderId="0" xfId="351" applyFont="1" applyFill="1" applyAlignment="1">
      <alignment horizontal="center"/>
    </xf>
    <xf numFmtId="0" fontId="26" fillId="0" borderId="0" xfId="351" applyFont="1" applyBorder="1"/>
    <xf numFmtId="0" fontId="26" fillId="0" borderId="0" xfId="351" applyFont="1" applyFill="1" applyBorder="1" applyAlignment="1">
      <alignment horizontal="center"/>
    </xf>
    <xf numFmtId="41" fontId="26" fillId="34" borderId="53" xfId="249" applyNumberFormat="1" applyFont="1" applyFill="1" applyBorder="1" applyProtection="1">
      <protection locked="0"/>
    </xf>
    <xf numFmtId="173" fontId="26" fillId="38" borderId="53" xfId="350" applyNumberFormat="1" applyFont="1" applyFill="1" applyBorder="1"/>
    <xf numFmtId="173" fontId="26" fillId="0" borderId="54" xfId="350" applyNumberFormat="1" applyFont="1" applyFill="1" applyBorder="1"/>
    <xf numFmtId="173" fontId="26" fillId="0" borderId="53" xfId="350" applyNumberFormat="1" applyFont="1" applyFill="1" applyBorder="1"/>
    <xf numFmtId="41" fontId="26" fillId="34" borderId="0" xfId="249" applyNumberFormat="1" applyFont="1" applyFill="1" applyBorder="1" applyProtection="1">
      <protection locked="0"/>
    </xf>
    <xf numFmtId="41" fontId="26" fillId="0" borderId="0" xfId="351" applyNumberFormat="1" applyFont="1" applyBorder="1" applyAlignment="1">
      <alignment horizontal="center"/>
    </xf>
    <xf numFmtId="0" fontId="27" fillId="0" borderId="0" xfId="351" applyFont="1" applyBorder="1"/>
    <xf numFmtId="173" fontId="26" fillId="38" borderId="54" xfId="350" applyNumberFormat="1" applyFont="1" applyFill="1" applyBorder="1"/>
    <xf numFmtId="173" fontId="26" fillId="0" borderId="0" xfId="354" applyNumberFormat="1" applyFont="1" applyBorder="1" applyAlignment="1">
      <alignment horizontal="center"/>
    </xf>
    <xf numFmtId="173" fontId="26" fillId="0" borderId="0" xfId="350" applyNumberFormat="1" applyFont="1" applyFill="1" applyBorder="1"/>
    <xf numFmtId="0" fontId="26" fillId="0" borderId="0" xfId="338" applyFont="1" applyFill="1"/>
    <xf numFmtId="0" fontId="26" fillId="0" borderId="0" xfId="338" applyFont="1" applyFill="1" applyBorder="1"/>
    <xf numFmtId="0" fontId="26" fillId="0" borderId="0" xfId="351" applyFont="1" applyAlignment="1">
      <alignment wrapText="1"/>
    </xf>
    <xf numFmtId="173" fontId="26" fillId="38" borderId="0" xfId="350" applyNumberFormat="1" applyFont="1" applyFill="1" applyBorder="1"/>
    <xf numFmtId="41" fontId="26" fillId="34" borderId="55" xfId="249" applyNumberFormat="1" applyFont="1" applyFill="1" applyBorder="1" applyProtection="1">
      <protection locked="0"/>
    </xf>
    <xf numFmtId="173" fontId="26" fillId="0" borderId="0" xfId="350" applyNumberFormat="1" applyFont="1" applyBorder="1" applyAlignment="1">
      <alignment wrapText="1"/>
    </xf>
    <xf numFmtId="173" fontId="26" fillId="0" borderId="56" xfId="354" applyNumberFormat="1" applyFont="1" applyBorder="1" applyAlignment="1"/>
    <xf numFmtId="173" fontId="26" fillId="0" borderId="0" xfId="350" applyNumberFormat="1" applyFont="1" applyAlignment="1">
      <alignment wrapText="1"/>
    </xf>
    <xf numFmtId="1" fontId="26" fillId="0" borderId="0" xfId="354" applyNumberFormat="1" applyFont="1" applyBorder="1" applyAlignment="1"/>
    <xf numFmtId="177" fontId="26" fillId="0" borderId="0" xfId="354" applyNumberFormat="1" applyFont="1" applyBorder="1" applyAlignment="1"/>
    <xf numFmtId="173" fontId="26" fillId="0" borderId="1" xfId="354" applyNumberFormat="1" applyFont="1" applyBorder="1" applyAlignment="1">
      <alignment horizontal="center"/>
    </xf>
    <xf numFmtId="173" fontId="26" fillId="0" borderId="0" xfId="354" applyNumberFormat="1" applyFont="1" applyBorder="1" applyAlignment="1"/>
    <xf numFmtId="0" fontId="26" fillId="0" borderId="0" xfId="351" applyFont="1" applyAlignment="1">
      <alignment horizontal="left" vertical="center"/>
    </xf>
    <xf numFmtId="0" fontId="26" fillId="0" borderId="0" xfId="351" applyFont="1" applyAlignment="1">
      <alignment vertical="top" wrapText="1"/>
    </xf>
    <xf numFmtId="0" fontId="26" fillId="0" borderId="0" xfId="351" applyFont="1" applyAlignment="1"/>
    <xf numFmtId="173" fontId="26" fillId="0" borderId="0" xfId="351" applyNumberFormat="1" applyFont="1"/>
    <xf numFmtId="0" fontId="26" fillId="0" borderId="0" xfId="351" applyFont="1" applyAlignment="1">
      <alignment vertical="top"/>
    </xf>
    <xf numFmtId="0" fontId="26" fillId="0" borderId="0" xfId="351" applyFont="1" applyFill="1" applyAlignment="1">
      <alignment horizontal="left"/>
    </xf>
    <xf numFmtId="0" fontId="26" fillId="0" borderId="0" xfId="351" applyFont="1" applyAlignment="1">
      <alignment horizontal="left"/>
    </xf>
    <xf numFmtId="0" fontId="26" fillId="0" borderId="0" xfId="351" applyFont="1" applyFill="1"/>
    <xf numFmtId="0" fontId="27" fillId="0" borderId="0" xfId="351" applyFont="1" applyAlignment="1">
      <alignment horizontal="left" vertical="center"/>
    </xf>
    <xf numFmtId="173" fontId="26" fillId="0" borderId="0" xfId="351" applyNumberFormat="1" applyFont="1" applyAlignment="1">
      <alignment horizontal="left" vertical="center"/>
    </xf>
    <xf numFmtId="49" fontId="26" fillId="0" borderId="0" xfId="351" applyNumberFormat="1" applyFont="1" applyFill="1" applyAlignment="1">
      <alignment horizontal="center"/>
    </xf>
    <xf numFmtId="49" fontId="26" fillId="0" borderId="0" xfId="351" applyNumberFormat="1" applyFont="1" applyAlignment="1">
      <alignment horizontal="center"/>
    </xf>
    <xf numFmtId="41" fontId="26" fillId="34" borderId="34" xfId="249" applyNumberFormat="1" applyFont="1" applyFill="1" applyBorder="1" applyAlignment="1" applyProtection="1">
      <alignment vertical="top"/>
      <protection locked="0"/>
    </xf>
    <xf numFmtId="172" fontId="171" fillId="0" borderId="0" xfId="352" applyFont="1"/>
    <xf numFmtId="0" fontId="26" fillId="0" borderId="0" xfId="351" applyFont="1" applyFill="1" applyAlignment="1">
      <alignment vertical="top" wrapText="1"/>
    </xf>
    <xf numFmtId="0" fontId="4" fillId="0" borderId="0" xfId="351" applyFont="1" applyAlignment="1">
      <alignment horizontal="right"/>
    </xf>
    <xf numFmtId="172" fontId="26" fillId="0" borderId="0" xfId="352" applyFont="1" applyBorder="1"/>
    <xf numFmtId="41" fontId="26" fillId="34" borderId="51" xfId="249" applyNumberFormat="1" applyFont="1" applyFill="1" applyBorder="1" applyProtection="1">
      <protection locked="0"/>
    </xf>
    <xf numFmtId="173" fontId="26" fillId="38" borderId="51" xfId="350" applyNumberFormat="1" applyFont="1" applyFill="1" applyBorder="1"/>
    <xf numFmtId="173" fontId="26" fillId="0" borderId="52" xfId="350" applyNumberFormat="1" applyFont="1" applyFill="1" applyBorder="1"/>
    <xf numFmtId="173" fontId="26" fillId="0" borderId="51" xfId="350" applyNumberFormat="1" applyFont="1" applyFill="1" applyBorder="1"/>
    <xf numFmtId="41" fontId="26" fillId="34" borderId="42" xfId="249" applyNumberFormat="1" applyFont="1" applyFill="1" applyBorder="1" applyProtection="1">
      <protection locked="0"/>
    </xf>
    <xf numFmtId="173" fontId="26" fillId="38" borderId="33" xfId="350" applyNumberFormat="1" applyFont="1" applyFill="1" applyBorder="1"/>
    <xf numFmtId="0" fontId="26" fillId="0" borderId="0" xfId="338" applyFont="1" applyBorder="1"/>
    <xf numFmtId="172" fontId="26" fillId="0" borderId="0" xfId="338" applyNumberFormat="1" applyFont="1" applyFill="1" applyBorder="1"/>
    <xf numFmtId="172" fontId="173" fillId="0" borderId="0" xfId="352" applyFont="1"/>
    <xf numFmtId="172" fontId="26" fillId="0" borderId="0" xfId="352" applyFont="1" applyFill="1" applyAlignment="1"/>
    <xf numFmtId="173" fontId="27" fillId="0" borderId="0" xfId="351" applyNumberFormat="1" applyFont="1" applyAlignment="1">
      <alignment horizontal="center"/>
    </xf>
    <xf numFmtId="0" fontId="26" fillId="0" borderId="0" xfId="351" applyFont="1"/>
    <xf numFmtId="173" fontId="155" fillId="34" borderId="0" xfId="387" applyNumberFormat="1" applyFont="1" applyFill="1" applyProtection="1">
      <protection locked="0"/>
    </xf>
    <xf numFmtId="41" fontId="151" fillId="0" borderId="0" xfId="499" applyNumberFormat="1" applyFont="1" applyFill="1" applyBorder="1"/>
    <xf numFmtId="176" fontId="125" fillId="34" borderId="0" xfId="340" applyNumberFormat="1" applyFont="1" applyFill="1" applyProtection="1">
      <protection locked="0"/>
    </xf>
    <xf numFmtId="41" fontId="29" fillId="0" borderId="11" xfId="249" applyNumberFormat="1" applyFont="1" applyFill="1" applyBorder="1"/>
    <xf numFmtId="41" fontId="80" fillId="36" borderId="11" xfId="258" applyNumberFormat="1" applyFont="1" applyFill="1" applyBorder="1" applyProtection="1">
      <protection locked="0"/>
    </xf>
    <xf numFmtId="173" fontId="14" fillId="0" borderId="0" xfId="258" applyNumberFormat="1" applyFont="1"/>
    <xf numFmtId="41" fontId="26" fillId="34" borderId="34" xfId="249" applyNumberFormat="1" applyFont="1" applyFill="1" applyBorder="1" applyAlignment="1" applyProtection="1">
      <alignment horizontal="left" vertical="center" wrapText="1"/>
      <protection locked="0"/>
    </xf>
    <xf numFmtId="0" fontId="79" fillId="0" borderId="30" xfId="259" applyFont="1" applyBorder="1" applyAlignment="1">
      <alignment horizontal="center"/>
    </xf>
    <xf numFmtId="5" fontId="80" fillId="36" borderId="11" xfId="258" applyNumberFormat="1" applyFont="1" applyFill="1" applyBorder="1" applyProtection="1">
      <protection locked="0"/>
    </xf>
    <xf numFmtId="0" fontId="4" fillId="0" borderId="0" xfId="338"/>
    <xf numFmtId="10" fontId="0" fillId="0" borderId="15" xfId="0" applyNumberFormat="1" applyBorder="1" applyAlignment="1" applyProtection="1">
      <alignment horizontal="center"/>
    </xf>
    <xf numFmtId="0" fontId="117" fillId="0" borderId="0" xfId="0" applyFont="1" applyBorder="1"/>
    <xf numFmtId="0" fontId="113" fillId="0" borderId="0" xfId="0" applyFont="1" applyBorder="1" applyProtection="1">
      <protection locked="0"/>
    </xf>
    <xf numFmtId="0" fontId="177" fillId="0" borderId="0" xfId="0" applyFont="1" applyBorder="1" applyAlignment="1">
      <alignment horizontal="center"/>
    </xf>
    <xf numFmtId="0" fontId="7" fillId="0" borderId="0" xfId="728" applyFont="1"/>
    <xf numFmtId="0" fontId="4" fillId="0" borderId="0" xfId="728"/>
    <xf numFmtId="0" fontId="4" fillId="0" borderId="0" xfId="728" applyAlignment="1">
      <alignment horizontal="center"/>
    </xf>
    <xf numFmtId="0" fontId="4" fillId="0" borderId="0" xfId="0" applyFont="1" applyFill="1" applyBorder="1" applyAlignment="1">
      <alignment horizontal="center"/>
    </xf>
    <xf numFmtId="0" fontId="11" fillId="0" borderId="0" xfId="252" applyFont="1" applyFill="1" applyAlignment="1" applyProtection="1">
      <alignment horizontal="center" wrapText="1"/>
    </xf>
    <xf numFmtId="0" fontId="4" fillId="0" borderId="0" xfId="258" applyFont="1" applyFill="1"/>
    <xf numFmtId="37" fontId="0" fillId="39" borderId="45" xfId="0" applyNumberFormat="1" applyFont="1" applyFill="1" applyBorder="1" applyAlignment="1"/>
    <xf numFmtId="41" fontId="21" fillId="34" borderId="0" xfId="249" applyNumberFormat="1" applyFont="1" applyFill="1" applyProtection="1">
      <protection locked="0"/>
    </xf>
    <xf numFmtId="41" fontId="21" fillId="34" borderId="6" xfId="249" applyNumberFormat="1" applyFont="1" applyFill="1" applyBorder="1" applyProtection="1">
      <protection locked="0"/>
    </xf>
    <xf numFmtId="10" fontId="21" fillId="34" borderId="0" xfId="266" applyNumberFormat="1" applyFont="1" applyFill="1" applyProtection="1">
      <protection locked="0"/>
    </xf>
    <xf numFmtId="173" fontId="10" fillId="34" borderId="74" xfId="89" applyNumberFormat="1" applyFont="1" applyFill="1" applyBorder="1" applyAlignment="1">
      <alignment horizontal="right"/>
    </xf>
    <xf numFmtId="173" fontId="10" fillId="34" borderId="40" xfId="89" applyNumberFormat="1" applyFont="1" applyFill="1" applyBorder="1" applyAlignment="1">
      <alignment horizontal="right"/>
    </xf>
    <xf numFmtId="173" fontId="10" fillId="34" borderId="39" xfId="89" applyNumberFormat="1" applyFont="1" applyFill="1" applyBorder="1" applyAlignment="1">
      <alignment horizontal="right"/>
    </xf>
    <xf numFmtId="173" fontId="10" fillId="34" borderId="33" xfId="89" applyNumberFormat="1" applyFont="1" applyFill="1" applyBorder="1" applyAlignment="1">
      <alignment horizontal="right"/>
    </xf>
    <xf numFmtId="173" fontId="10" fillId="34" borderId="11" xfId="89" applyNumberFormat="1" applyFont="1" applyFill="1" applyBorder="1" applyAlignment="1">
      <alignment horizontal="right"/>
    </xf>
    <xf numFmtId="173" fontId="10" fillId="34" borderId="35" xfId="89" applyNumberFormat="1" applyFont="1" applyFill="1" applyBorder="1" applyAlignment="1">
      <alignment horizontal="right"/>
    </xf>
    <xf numFmtId="37" fontId="0" fillId="0" borderId="47" xfId="0" applyNumberFormat="1" applyFont="1" applyFill="1" applyBorder="1" applyAlignment="1"/>
    <xf numFmtId="41" fontId="130" fillId="34" borderId="0" xfId="251" applyNumberFormat="1" applyFont="1" applyFill="1" applyBorder="1" applyProtection="1">
      <protection locked="0"/>
    </xf>
    <xf numFmtId="173" fontId="73" fillId="0" borderId="14" xfId="86" applyNumberFormat="1" applyFont="1" applyFill="1" applyBorder="1"/>
    <xf numFmtId="173" fontId="14" fillId="0" borderId="32" xfId="88" applyNumberFormat="1" applyFont="1" applyFill="1" applyBorder="1"/>
    <xf numFmtId="173" fontId="14" fillId="0" borderId="14" xfId="88" applyNumberFormat="1" applyFont="1" applyFill="1" applyBorder="1"/>
    <xf numFmtId="173" fontId="10" fillId="30" borderId="6" xfId="109" applyNumberFormat="1" applyFont="1" applyFill="1" applyBorder="1" applyAlignment="1" applyProtection="1">
      <protection locked="0"/>
    </xf>
    <xf numFmtId="173" fontId="155" fillId="0" borderId="0" xfId="112" applyNumberFormat="1" applyFont="1" applyFill="1" applyProtection="1">
      <protection locked="0"/>
    </xf>
    <xf numFmtId="10" fontId="148" fillId="0" borderId="0" xfId="287" applyNumberFormat="1" applyFont="1" applyFill="1"/>
    <xf numFmtId="173" fontId="148" fillId="0" borderId="0" xfId="0" applyNumberFormat="1" applyFont="1" applyFill="1"/>
    <xf numFmtId="164" fontId="148" fillId="0" borderId="0" xfId="340" applyNumberFormat="1" applyFont="1" applyFill="1" applyProtection="1">
      <protection locked="0"/>
    </xf>
    <xf numFmtId="173" fontId="148" fillId="0" borderId="0" xfId="111" applyNumberFormat="1" applyFont="1" applyFill="1"/>
    <xf numFmtId="173" fontId="148" fillId="0" borderId="11" xfId="0" applyNumberFormat="1" applyFont="1" applyFill="1" applyBorder="1"/>
    <xf numFmtId="164" fontId="148" fillId="0" borderId="11" xfId="340" applyNumberFormat="1" applyFont="1" applyFill="1" applyBorder="1" applyProtection="1">
      <protection locked="0"/>
    </xf>
    <xf numFmtId="173" fontId="148" fillId="0" borderId="11" xfId="111" applyNumberFormat="1" applyFont="1" applyFill="1" applyBorder="1"/>
    <xf numFmtId="0" fontId="148" fillId="0" borderId="0" xfId="0" applyFont="1" applyFill="1"/>
    <xf numFmtId="0" fontId="148" fillId="0" borderId="0" xfId="0" applyFont="1" applyFill="1" applyAlignment="1"/>
    <xf numFmtId="194" fontId="21" fillId="34" borderId="0" xfId="86" applyNumberFormat="1" applyFont="1" applyFill="1" applyProtection="1">
      <protection locked="0"/>
    </xf>
    <xf numFmtId="0" fontId="7" fillId="0" borderId="0" xfId="0" applyFont="1" applyFill="1" applyAlignment="1" applyProtection="1">
      <alignment horizontal="left" vertical="top" wrapText="1"/>
    </xf>
    <xf numFmtId="3" fontId="169" fillId="0" borderId="0" xfId="257" applyNumberFormat="1" applyFont="1" applyFill="1" applyAlignment="1" applyProtection="1">
      <alignment horizontal="center"/>
    </xf>
    <xf numFmtId="172" fontId="7" fillId="0" borderId="0" xfId="257" applyFont="1" applyAlignment="1" applyProtection="1">
      <alignment horizontal="left" wrapText="1"/>
    </xf>
    <xf numFmtId="0" fontId="7" fillId="0" borderId="0" xfId="257" applyNumberFormat="1" applyFont="1" applyFill="1" applyAlignment="1" applyProtection="1">
      <alignment horizontal="left" wrapText="1"/>
    </xf>
    <xf numFmtId="0" fontId="7" fillId="0" borderId="0" xfId="257" applyNumberFormat="1" applyFont="1" applyFill="1" applyAlignment="1" applyProtection="1">
      <alignment horizontal="left" vertical="top" wrapText="1"/>
    </xf>
    <xf numFmtId="172" fontId="7" fillId="0" borderId="0" xfId="257" applyFont="1" applyFill="1" applyAlignment="1" applyProtection="1">
      <alignment horizontal="left" wrapText="1"/>
    </xf>
    <xf numFmtId="172" fontId="28" fillId="0" borderId="0" xfId="257" applyFont="1" applyFill="1" applyAlignment="1" applyProtection="1">
      <alignment vertical="top" wrapText="1"/>
    </xf>
    <xf numFmtId="0" fontId="28" fillId="0" borderId="0" xfId="0" applyFont="1" applyAlignment="1" applyProtection="1">
      <alignment vertical="top" wrapText="1"/>
    </xf>
    <xf numFmtId="0" fontId="7" fillId="0" borderId="0" xfId="0" applyFont="1" applyAlignment="1" applyProtection="1">
      <alignment wrapText="1"/>
    </xf>
    <xf numFmtId="0" fontId="14" fillId="0" borderId="0" xfId="0" applyFont="1" applyAlignment="1" applyProtection="1">
      <alignment wrapText="1"/>
    </xf>
    <xf numFmtId="172" fontId="143" fillId="0" borderId="0" xfId="257" applyFont="1" applyFill="1" applyAlignment="1" applyProtection="1">
      <alignment vertical="top" wrapText="1"/>
    </xf>
    <xf numFmtId="0" fontId="138" fillId="0" borderId="0" xfId="0" applyFont="1" applyFill="1" applyAlignment="1" applyProtection="1">
      <alignment vertical="top" wrapText="1"/>
    </xf>
    <xf numFmtId="172" fontId="28" fillId="0" borderId="0" xfId="257" applyFont="1" applyFill="1" applyAlignment="1" applyProtection="1">
      <alignment wrapText="1"/>
    </xf>
    <xf numFmtId="172" fontId="7" fillId="0" borderId="0" xfId="257"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21" fillId="0" borderId="0" xfId="257" applyFont="1" applyFill="1" applyAlignment="1" applyProtection="1">
      <alignment wrapText="1"/>
    </xf>
    <xf numFmtId="0" fontId="34" fillId="0" borderId="0" xfId="0" applyFont="1" applyAlignment="1" applyProtection="1">
      <alignment wrapText="1"/>
    </xf>
    <xf numFmtId="0" fontId="28" fillId="0" borderId="0" xfId="257" applyNumberFormat="1" applyFont="1" applyFill="1" applyAlignment="1" applyProtection="1">
      <alignment horizontal="left" wrapText="1"/>
    </xf>
    <xf numFmtId="172" fontId="7" fillId="0" borderId="0" xfId="257" applyFont="1" applyAlignment="1" applyProtection="1">
      <alignment horizontal="left"/>
    </xf>
    <xf numFmtId="3" fontId="7" fillId="0" borderId="0" xfId="257" applyNumberFormat="1" applyFont="1" applyAlignment="1" applyProtection="1">
      <alignment horizontal="left" wrapText="1"/>
    </xf>
    <xf numFmtId="0" fontId="14" fillId="0" borderId="0" xfId="0" applyFont="1" applyAlignment="1" applyProtection="1">
      <alignment horizontal="left" wrapText="1"/>
    </xf>
    <xf numFmtId="172" fontId="79" fillId="0" borderId="0" xfId="257" applyFont="1" applyAlignment="1" applyProtection="1">
      <alignment horizontal="left" wrapText="1"/>
    </xf>
    <xf numFmtId="49" fontId="7" fillId="0" borderId="0" xfId="257" applyNumberFormat="1" applyFont="1" applyAlignment="1" applyProtection="1">
      <alignment horizontal="center"/>
    </xf>
    <xf numFmtId="0" fontId="34" fillId="0" borderId="0" xfId="0" applyFont="1" applyAlignment="1" applyProtection="1">
      <alignment horizontal="center"/>
    </xf>
    <xf numFmtId="0" fontId="12" fillId="0" borderId="0" xfId="257"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172" fontId="8" fillId="0" borderId="11" xfId="257" applyFont="1" applyBorder="1" applyAlignment="1" applyProtection="1">
      <alignment horizontal="center"/>
    </xf>
    <xf numFmtId="0" fontId="7" fillId="0" borderId="0" xfId="0" applyFont="1" applyAlignment="1">
      <alignment horizontal="center"/>
    </xf>
    <xf numFmtId="0" fontId="7" fillId="0" borderId="0" xfId="211" applyFont="1" applyBorder="1" applyAlignment="1">
      <alignment horizontal="center"/>
    </xf>
    <xf numFmtId="0" fontId="11" fillId="0" borderId="48" xfId="260" applyFont="1" applyBorder="1" applyAlignment="1">
      <alignment horizontal="center" wrapText="1"/>
    </xf>
    <xf numFmtId="0" fontId="11" fillId="0" borderId="13" xfId="260" applyFont="1" applyBorder="1" applyAlignment="1">
      <alignment horizontal="center" wrapText="1"/>
    </xf>
    <xf numFmtId="0" fontId="11" fillId="0" borderId="49" xfId="260" applyFont="1" applyBorder="1" applyAlignment="1">
      <alignment horizontal="center" wrapText="1"/>
    </xf>
    <xf numFmtId="0" fontId="11" fillId="0" borderId="48" xfId="189" applyFont="1" applyBorder="1" applyAlignment="1">
      <alignment horizontal="center"/>
    </xf>
    <xf numFmtId="0" fontId="11" fillId="0" borderId="13" xfId="189" applyFont="1" applyBorder="1" applyAlignment="1">
      <alignment horizontal="center"/>
    </xf>
    <xf numFmtId="0" fontId="11" fillId="0" borderId="49" xfId="189" applyFont="1" applyBorder="1" applyAlignment="1">
      <alignment horizontal="center"/>
    </xf>
    <xf numFmtId="3" fontId="7" fillId="0" borderId="0" xfId="211" applyNumberFormat="1" applyFont="1" applyBorder="1" applyAlignment="1">
      <alignment horizontal="center"/>
    </xf>
    <xf numFmtId="0" fontId="14" fillId="0" borderId="0" xfId="211" applyFont="1" applyFill="1" applyBorder="1" applyAlignment="1">
      <alignment horizontal="left" wrapText="1"/>
    </xf>
    <xf numFmtId="0" fontId="19" fillId="0" borderId="0" xfId="249"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11" quotePrefix="1" applyFont="1" applyBorder="1" applyAlignment="1">
      <alignment horizontal="center" wrapText="1"/>
    </xf>
    <xf numFmtId="0" fontId="26" fillId="0" borderId="0" xfId="351" applyFont="1" applyAlignment="1">
      <alignment horizontal="left" vertical="top" wrapText="1"/>
    </xf>
    <xf numFmtId="0" fontId="26" fillId="0" borderId="0" xfId="351" applyFont="1" applyAlignment="1">
      <alignment horizontal="center" wrapText="1"/>
    </xf>
    <xf numFmtId="0" fontId="27" fillId="0" borderId="0" xfId="351" applyFont="1" applyBorder="1" applyAlignment="1">
      <alignment horizontal="center" wrapText="1"/>
    </xf>
    <xf numFmtId="41" fontId="26" fillId="34" borderId="34" xfId="249" applyNumberFormat="1" applyFont="1" applyFill="1" applyBorder="1" applyAlignment="1" applyProtection="1">
      <alignment horizontal="left" vertical="center" wrapText="1"/>
      <protection locked="0"/>
    </xf>
    <xf numFmtId="0" fontId="26" fillId="0" borderId="0" xfId="351" applyFont="1" applyAlignment="1">
      <alignment horizontal="left" wrapText="1"/>
    </xf>
    <xf numFmtId="0" fontId="26" fillId="0" borderId="0" xfId="351" applyFont="1" applyFill="1" applyAlignment="1">
      <alignment horizontal="left" wrapText="1"/>
    </xf>
    <xf numFmtId="0" fontId="26" fillId="0" borderId="11" xfId="351" applyFont="1" applyBorder="1" applyAlignment="1">
      <alignment horizontal="center"/>
    </xf>
    <xf numFmtId="172" fontId="26" fillId="0" borderId="11" xfId="352" applyFont="1" applyBorder="1" applyAlignment="1">
      <alignment horizontal="center"/>
    </xf>
    <xf numFmtId="0" fontId="26" fillId="0" borderId="11" xfId="351" applyFont="1" applyBorder="1" applyAlignment="1">
      <alignment horizontal="center" wrapText="1"/>
    </xf>
    <xf numFmtId="41" fontId="26" fillId="34" borderId="34" xfId="249" applyNumberFormat="1" applyFont="1" applyFill="1" applyBorder="1" applyAlignment="1" applyProtection="1">
      <alignment vertical="center"/>
      <protection locked="0"/>
    </xf>
    <xf numFmtId="0" fontId="26" fillId="0" borderId="0" xfId="351" applyFont="1" applyFill="1" applyAlignment="1">
      <alignment horizontal="left" vertical="top" wrapText="1"/>
    </xf>
    <xf numFmtId="0" fontId="14" fillId="0" borderId="0" xfId="211" applyNumberFormat="1" applyFont="1" applyFill="1" applyBorder="1" applyAlignment="1">
      <alignment horizontal="left" wrapText="1"/>
    </xf>
    <xf numFmtId="0" fontId="83" fillId="0" borderId="0" xfId="211" applyNumberFormat="1" applyFont="1" applyFill="1" applyBorder="1" applyAlignment="1">
      <alignment horizontal="center"/>
    </xf>
    <xf numFmtId="0" fontId="83" fillId="0" borderId="0" xfId="249" applyFont="1" applyFill="1" applyAlignment="1">
      <alignment horizontal="center"/>
    </xf>
    <xf numFmtId="0" fontId="19" fillId="0" borderId="0" xfId="249" applyFont="1" applyBorder="1" applyAlignment="1">
      <alignment horizontal="center" wrapText="1"/>
    </xf>
    <xf numFmtId="0" fontId="15" fillId="0" borderId="0" xfId="0" applyFont="1" applyBorder="1" applyAlignment="1">
      <alignment horizontal="center" wrapText="1"/>
    </xf>
    <xf numFmtId="0" fontId="83" fillId="0" borderId="0" xfId="0" applyFont="1" applyFill="1" applyAlignment="1">
      <alignment horizontal="center"/>
    </xf>
    <xf numFmtId="0" fontId="7" fillId="0" borderId="0" xfId="0" applyFont="1" applyAlignment="1" applyProtection="1">
      <alignment horizontal="center"/>
    </xf>
    <xf numFmtId="0" fontId="7" fillId="0" borderId="0" xfId="211" applyFont="1" applyBorder="1" applyAlignment="1" applyProtection="1">
      <alignment horizontal="center"/>
    </xf>
    <xf numFmtId="3" fontId="7" fillId="0" borderId="0" xfId="0" applyNumberFormat="1" applyFont="1" applyAlignment="1" applyProtection="1">
      <alignment horizontal="center"/>
    </xf>
    <xf numFmtId="172" fontId="14" fillId="0" borderId="0" xfId="257" applyFont="1" applyFill="1" applyAlignment="1" applyProtection="1">
      <alignment horizontal="left" vertical="top" wrapText="1"/>
    </xf>
    <xf numFmtId="0" fontId="11" fillId="0" borderId="0" xfId="261" applyFont="1" applyFill="1" applyAlignment="1" applyProtection="1">
      <alignment wrapText="1"/>
    </xf>
    <xf numFmtId="3" fontId="6" fillId="0" borderId="0" xfId="0" applyNumberFormat="1" applyFont="1" applyAlignment="1" applyProtection="1">
      <alignment horizontal="center"/>
    </xf>
    <xf numFmtId="0" fontId="12" fillId="0" borderId="0" xfId="261"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76" fillId="0" borderId="11" xfId="258" applyFont="1" applyBorder="1" applyAlignment="1">
      <alignment horizontal="center"/>
    </xf>
    <xf numFmtId="0" fontId="73" fillId="0" borderId="0" xfId="258" applyFont="1" applyFill="1" applyAlignment="1">
      <alignment horizontal="left" wrapText="1"/>
    </xf>
    <xf numFmtId="0" fontId="73" fillId="0" borderId="0" xfId="258" applyFont="1" applyFill="1" applyAlignment="1">
      <alignment wrapText="1"/>
    </xf>
    <xf numFmtId="0" fontId="6" fillId="0" borderId="0" xfId="211" applyFont="1" applyBorder="1" applyAlignment="1">
      <alignment horizontal="center"/>
    </xf>
    <xf numFmtId="0" fontId="6" fillId="0" borderId="0" xfId="0" applyFont="1" applyAlignment="1">
      <alignment horizontal="center"/>
    </xf>
    <xf numFmtId="0" fontId="71" fillId="34" borderId="0" xfId="0" applyFont="1" applyFill="1" applyAlignment="1" applyProtection="1">
      <alignment horizontal="left" vertical="top"/>
      <protection locked="0"/>
    </xf>
    <xf numFmtId="173" fontId="102"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4" fillId="0" borderId="21" xfId="257" applyFont="1" applyBorder="1" applyAlignment="1" applyProtection="1">
      <alignment wrapText="1"/>
    </xf>
    <xf numFmtId="0" fontId="4" fillId="0" borderId="16" xfId="0" applyFont="1" applyBorder="1" applyAlignment="1" applyProtection="1">
      <alignment wrapText="1"/>
    </xf>
    <xf numFmtId="0" fontId="4" fillId="0" borderId="22"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14" fillId="0" borderId="0" xfId="0" applyFont="1" applyFill="1" applyBorder="1" applyAlignment="1" applyProtection="1">
      <alignment wrapText="1"/>
    </xf>
    <xf numFmtId="0" fontId="14" fillId="0" borderId="0" xfId="252" applyFont="1" applyFill="1" applyAlignment="1" applyProtection="1">
      <alignment horizontal="left" wrapText="1"/>
    </xf>
    <xf numFmtId="0" fontId="14" fillId="0" borderId="0" xfId="183" applyFont="1" applyFill="1" applyAlignment="1" applyProtection="1">
      <alignment wrapText="1"/>
    </xf>
    <xf numFmtId="0" fontId="95" fillId="0" borderId="0" xfId="252"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2" applyNumberFormat="1" applyFont="1" applyFill="1" applyBorder="1" applyAlignment="1" applyProtection="1">
      <alignment horizontal="center" wrapText="1"/>
    </xf>
    <xf numFmtId="0" fontId="11" fillId="0" borderId="48" xfId="0" applyFont="1" applyBorder="1" applyAlignment="1">
      <alignment horizontal="center"/>
    </xf>
    <xf numFmtId="0" fontId="11" fillId="0" borderId="13" xfId="0" applyFont="1" applyBorder="1" applyAlignment="1">
      <alignment horizontal="center"/>
    </xf>
    <xf numFmtId="0" fontId="11" fillId="0" borderId="49" xfId="0" applyFont="1" applyBorder="1" applyAlignment="1">
      <alignment horizontal="center"/>
    </xf>
    <xf numFmtId="0" fontId="101" fillId="0" borderId="0" xfId="0" applyFont="1" applyAlignment="1">
      <alignment horizontal="center" wrapText="1"/>
    </xf>
    <xf numFmtId="0" fontId="11" fillId="0" borderId="0" xfId="0" applyFont="1" applyAlignment="1">
      <alignment horizontal="center" wrapText="1"/>
    </xf>
    <xf numFmtId="0" fontId="22"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143" fillId="0" borderId="0" xfId="0" applyFont="1" applyAlignment="1">
      <alignment horizontal="center"/>
    </xf>
    <xf numFmtId="0" fontId="143" fillId="0" borderId="0" xfId="211" applyFont="1" applyBorder="1" applyAlignment="1">
      <alignment horizontal="center"/>
    </xf>
    <xf numFmtId="0" fontId="148" fillId="0" borderId="0" xfId="0" applyFont="1" applyAlignment="1">
      <alignment horizontal="center"/>
    </xf>
    <xf numFmtId="0" fontId="143" fillId="0" borderId="0" xfId="211" applyFont="1" applyFill="1" applyBorder="1" applyAlignment="1">
      <alignment horizontal="center"/>
    </xf>
    <xf numFmtId="3" fontId="143" fillId="0" borderId="0" xfId="0" applyNumberFormat="1" applyFont="1" applyAlignment="1">
      <alignment horizontal="center"/>
    </xf>
    <xf numFmtId="0" fontId="150" fillId="0" borderId="0" xfId="0" applyFont="1" applyAlignment="1">
      <alignment horizontal="center"/>
    </xf>
    <xf numFmtId="0" fontId="156" fillId="0" borderId="0" xfId="0" applyFont="1" applyAlignment="1">
      <alignment horizontal="left" wrapText="1"/>
    </xf>
    <xf numFmtId="0" fontId="148" fillId="0" borderId="0" xfId="0" applyFont="1" applyAlignment="1">
      <alignment wrapText="1"/>
    </xf>
    <xf numFmtId="0" fontId="148" fillId="0" borderId="0" xfId="0" applyFont="1" applyFill="1" applyAlignment="1">
      <alignment horizontal="left" wrapText="1"/>
    </xf>
    <xf numFmtId="0" fontId="150" fillId="0" borderId="0" xfId="0" applyFont="1" applyAlignment="1">
      <alignment horizontal="center" wrapText="1"/>
    </xf>
    <xf numFmtId="173" fontId="150" fillId="0" borderId="0" xfId="111" applyNumberFormat="1" applyFont="1" applyAlignment="1">
      <alignment horizontal="center" wrapText="1"/>
    </xf>
    <xf numFmtId="0" fontId="148" fillId="0" borderId="0" xfId="0" applyFont="1" applyAlignment="1">
      <alignment horizontal="left" wrapText="1"/>
    </xf>
    <xf numFmtId="0" fontId="112" fillId="0" borderId="0" xfId="259" applyFont="1" applyAlignment="1" applyProtection="1">
      <alignment horizontal="center"/>
    </xf>
    <xf numFmtId="3" fontId="112" fillId="0" borderId="0" xfId="259" applyNumberFormat="1" applyFont="1" applyAlignment="1" applyProtection="1">
      <alignment horizontal="center"/>
    </xf>
    <xf numFmtId="44" fontId="112" fillId="0" borderId="0" xfId="117" applyFont="1" applyAlignment="1" applyProtection="1">
      <alignment horizontal="center"/>
    </xf>
    <xf numFmtId="0" fontId="79" fillId="0" borderId="30" xfId="259" applyFont="1" applyBorder="1" applyAlignment="1" applyProtection="1">
      <alignment horizontal="center"/>
    </xf>
    <xf numFmtId="0" fontId="5" fillId="0" borderId="0" xfId="259" applyFont="1" applyAlignment="1" applyProtection="1">
      <alignment horizontal="left" wrapText="1"/>
    </xf>
    <xf numFmtId="0" fontId="7" fillId="0" borderId="0" xfId="256" applyFont="1" applyAlignment="1" applyProtection="1">
      <alignment vertical="top" wrapText="1"/>
    </xf>
    <xf numFmtId="0" fontId="5" fillId="0" borderId="0" xfId="0" applyFont="1" applyAlignment="1" applyProtection="1">
      <alignment vertical="top" wrapText="1"/>
    </xf>
    <xf numFmtId="0" fontId="7" fillId="0" borderId="0" xfId="338" applyFont="1" applyAlignment="1">
      <alignment wrapText="1"/>
    </xf>
    <xf numFmtId="0" fontId="112" fillId="0" borderId="0" xfId="259" applyFont="1" applyAlignment="1">
      <alignment horizontal="center"/>
    </xf>
    <xf numFmtId="44" fontId="112" fillId="0" borderId="0" xfId="393" applyFont="1" applyAlignment="1">
      <alignment horizontal="center"/>
    </xf>
    <xf numFmtId="0" fontId="79" fillId="0" borderId="30" xfId="259" applyFont="1" applyBorder="1" applyAlignment="1">
      <alignment horizontal="center"/>
    </xf>
    <xf numFmtId="0" fontId="79" fillId="0" borderId="0" xfId="338" applyFont="1" applyAlignment="1">
      <alignment vertical="top" wrapText="1"/>
    </xf>
    <xf numFmtId="0" fontId="4" fillId="0" borderId="0" xfId="338" applyAlignment="1">
      <alignment vertical="top" wrapText="1"/>
    </xf>
    <xf numFmtId="0" fontId="7" fillId="0" borderId="0" xfId="728" applyFont="1" applyAlignment="1">
      <alignment vertical="top" wrapText="1"/>
    </xf>
    <xf numFmtId="0" fontId="7" fillId="0" borderId="0" xfId="165" applyFont="1" applyAlignment="1">
      <alignment vertical="top" wrapText="1"/>
    </xf>
    <xf numFmtId="0" fontId="144" fillId="0" borderId="0" xfId="259" applyFont="1" applyAlignment="1">
      <alignment horizontal="center"/>
    </xf>
    <xf numFmtId="0" fontId="5" fillId="0" borderId="0" xfId="259" applyAlignment="1">
      <alignment wrapText="1"/>
    </xf>
    <xf numFmtId="0" fontId="79" fillId="0" borderId="0" xfId="0" applyFont="1" applyAlignment="1" applyProtection="1">
      <alignment horizontal="center"/>
    </xf>
    <xf numFmtId="0" fontId="8" fillId="0" borderId="0" xfId="0" applyFont="1" applyFill="1" applyAlignment="1" applyProtection="1">
      <alignment horizontal="center"/>
    </xf>
    <xf numFmtId="0" fontId="125" fillId="0" borderId="0" xfId="0" applyFont="1" applyFill="1" applyAlignment="1" applyProtection="1">
      <alignment horizontal="center" wrapText="1"/>
    </xf>
  </cellXfs>
  <cellStyles count="72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586"/>
    <cellStyle name="C01B" xfId="55"/>
    <cellStyle name="C01B 2" xfId="355"/>
    <cellStyle name="C01H" xfId="56"/>
    <cellStyle name="C01L" xfId="57"/>
    <cellStyle name="C02A" xfId="58"/>
    <cellStyle name="C02A 2" xfId="546"/>
    <cellStyle name="C02A 3" xfId="585"/>
    <cellStyle name="C02A 3 2" xfId="642"/>
    <cellStyle name="C02A 4" xfId="539"/>
    <cellStyle name="C02A 4 2" xfId="613"/>
    <cellStyle name="C02A 5" xfId="356"/>
    <cellStyle name="C02B" xfId="59"/>
    <cellStyle name="C02B 2" xfId="357"/>
    <cellStyle name="C02H" xfId="60"/>
    <cellStyle name="C02L" xfId="61"/>
    <cellStyle name="C03A" xfId="62"/>
    <cellStyle name="C03B" xfId="63"/>
    <cellStyle name="C03H" xfId="64"/>
    <cellStyle name="C03L" xfId="65"/>
    <cellStyle name="C04A" xfId="66"/>
    <cellStyle name="C04A 2" xfId="358"/>
    <cellStyle name="C04B" xfId="67"/>
    <cellStyle name="C04H" xfId="68"/>
    <cellStyle name="C04L" xfId="69"/>
    <cellStyle name="C05A" xfId="70"/>
    <cellStyle name="C05B" xfId="71"/>
    <cellStyle name="C05H" xfId="72"/>
    <cellStyle name="C05L" xfId="73"/>
    <cellStyle name="C05L 2" xfId="359"/>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548"/>
    <cellStyle name="Calculation 2 3" xfId="575"/>
    <cellStyle name="Calculation 2 3 2" xfId="632"/>
    <cellStyle name="Calculation 2 4" xfId="545"/>
    <cellStyle name="Calculation 2 4 2" xfId="619"/>
    <cellStyle name="Calculation 2 5" xfId="361"/>
    <cellStyle name="Calculation 3" xfId="547"/>
    <cellStyle name="Calculation 4" xfId="577"/>
    <cellStyle name="Calculation 4 2" xfId="634"/>
    <cellStyle name="Calculation 5" xfId="544"/>
    <cellStyle name="Calculation 5 2" xfId="618"/>
    <cellStyle name="Calculation 6" xfId="360"/>
    <cellStyle name="Check Cell" xfId="84" builtinId="23" customBuiltin="1"/>
    <cellStyle name="Check Cell 2" xfId="85"/>
    <cellStyle name="Comma" xfId="86" builtinId="3"/>
    <cellStyle name="Comma [0] 2" xfId="347"/>
    <cellStyle name="Comma 10" xfId="343"/>
    <cellStyle name="Comma 10 2" xfId="650"/>
    <cellStyle name="Comma 11" xfId="354"/>
    <cellStyle name="Comma 11 2" xfId="549"/>
    <cellStyle name="Comma 11 2 2" xfId="685"/>
    <cellStyle name="Comma 12 2" xfId="87"/>
    <cellStyle name="Comma 12 2 2" xfId="550"/>
    <cellStyle name="Comma 12 2 2 2" xfId="702"/>
    <cellStyle name="Comma 12 2 2 3" xfId="620"/>
    <cellStyle name="Comma 12 2 3" xfId="362"/>
    <cellStyle name="Comma 12 2 3 2" xfId="651"/>
    <cellStyle name="Comma 12 2 4" xfId="689"/>
    <cellStyle name="Comma 12 2 5" xfId="596"/>
    <cellStyle name="Comma 2" xfId="88"/>
    <cellStyle name="Comma 2 2" xfId="89"/>
    <cellStyle name="Comma 2 2 2" xfId="364"/>
    <cellStyle name="Comma 2 3" xfId="363"/>
    <cellStyle name="Comma 3" xfId="90"/>
    <cellStyle name="Comma 3 10" xfId="652"/>
    <cellStyle name="Comma 3 2" xfId="91"/>
    <cellStyle name="Comma 3 2 2" xfId="365"/>
    <cellStyle name="Comma 3 3" xfId="92"/>
    <cellStyle name="Comma 3 3 2" xfId="93"/>
    <cellStyle name="Comma 3 3 2 2" xfId="367"/>
    <cellStyle name="Comma 3 3 3" xfId="94"/>
    <cellStyle name="Comma 3 3 3 2" xfId="368"/>
    <cellStyle name="Comma 3 3 4" xfId="366"/>
    <cellStyle name="Comma 3 4" xfId="95"/>
    <cellStyle name="Comma 3 4 2" xfId="96"/>
    <cellStyle name="Comma 3 4 2 2" xfId="370"/>
    <cellStyle name="Comma 3 4 3" xfId="97"/>
    <cellStyle name="Comma 3 4 3 2" xfId="371"/>
    <cellStyle name="Comma 3 4 4" xfId="369"/>
    <cellStyle name="Comma 3 5" xfId="98"/>
    <cellStyle name="Comma 3 5 2" xfId="372"/>
    <cellStyle name="Comma 3 6" xfId="99"/>
    <cellStyle name="Comma 3 6 2" xfId="100"/>
    <cellStyle name="Comma 3 6 2 2" xfId="374"/>
    <cellStyle name="Comma 3 6 3" xfId="373"/>
    <cellStyle name="Comma 3 7" xfId="101"/>
    <cellStyle name="Comma 3 7 2" xfId="102"/>
    <cellStyle name="Comma 3 7 2 2" xfId="376"/>
    <cellStyle name="Comma 3 7 3" xfId="375"/>
    <cellStyle name="Comma 3 8" xfId="103"/>
    <cellStyle name="Comma 3 8 2" xfId="551"/>
    <cellStyle name="Comma 3 8 2 2" xfId="703"/>
    <cellStyle name="Comma 3 8 3" xfId="377"/>
    <cellStyle name="Comma 3 9" xfId="378"/>
    <cellStyle name="Comma 3 9 2" xfId="552"/>
    <cellStyle name="Comma 3 9 2 2" xfId="654"/>
    <cellStyle name="Comma 3 9 3" xfId="653"/>
    <cellStyle name="Comma 4" xfId="104"/>
    <cellStyle name="Comma 4 2" xfId="105"/>
    <cellStyle name="Comma 4 2 2" xfId="380"/>
    <cellStyle name="Comma 4 3" xfId="553"/>
    <cellStyle name="Comma 4 3 2" xfId="704"/>
    <cellStyle name="Comma 4 3 3" xfId="621"/>
    <cellStyle name="Comma 4 4" xfId="379"/>
    <cellStyle name="Comma 4 4 2" xfId="655"/>
    <cellStyle name="Comma 4 5" xfId="690"/>
    <cellStyle name="Comma 4 6" xfId="597"/>
    <cellStyle name="Comma 5" xfId="106"/>
    <cellStyle name="Comma 5 2" xfId="107"/>
    <cellStyle name="Comma 5 2 2" xfId="382"/>
    <cellStyle name="Comma 5 3" xfId="381"/>
    <cellStyle name="Comma 6" xfId="108"/>
    <cellStyle name="Comma 6 2" xfId="109"/>
    <cellStyle name="Comma 6 2 2" xfId="384"/>
    <cellStyle name="Comma 6 3" xfId="110"/>
    <cellStyle name="Comma 6 3 2" xfId="555"/>
    <cellStyle name="Comma 6 3 2 2" xfId="706"/>
    <cellStyle name="Comma 6 3 2 3" xfId="623"/>
    <cellStyle name="Comma 6 3 3" xfId="385"/>
    <cellStyle name="Comma 6 3 3 2" xfId="657"/>
    <cellStyle name="Comma 6 3 4" xfId="692"/>
    <cellStyle name="Comma 6 3 5" xfId="599"/>
    <cellStyle name="Comma 6 4" xfId="554"/>
    <cellStyle name="Comma 6 4 2" xfId="705"/>
    <cellStyle name="Comma 6 4 3" xfId="622"/>
    <cellStyle name="Comma 6 5" xfId="383"/>
    <cellStyle name="Comma 6 5 2" xfId="656"/>
    <cellStyle name="Comma 6 6" xfId="691"/>
    <cellStyle name="Comma 6 7" xfId="598"/>
    <cellStyle name="Comma 7" xfId="111"/>
    <cellStyle name="Comma 7 2" xfId="112"/>
    <cellStyle name="Comma 7 2 2" xfId="387"/>
    <cellStyle name="Comma 7 3" xfId="113"/>
    <cellStyle name="Comma 7 3 2" xfId="388"/>
    <cellStyle name="Comma 7 4" xfId="386"/>
    <cellStyle name="Comma 7 5" xfId="658"/>
    <cellStyle name="Comma 8" xfId="114"/>
    <cellStyle name="Comma 8 2" xfId="556"/>
    <cellStyle name="Comma 8 2 2" xfId="707"/>
    <cellStyle name="Comma 8 3" xfId="389"/>
    <cellStyle name="Comma 9" xfId="342"/>
    <cellStyle name="Comma 9 2" xfId="350"/>
    <cellStyle name="Comma 9 2 2" xfId="594"/>
    <cellStyle name="Comma 9 2 2 2" xfId="647"/>
    <cellStyle name="Comma 9 2 3" xfId="684"/>
    <cellStyle name="Comma 9 2 4" xfId="727"/>
    <cellStyle name="Comma 9 2 5" xfId="610"/>
    <cellStyle name="Comma 9 3" xfId="538"/>
    <cellStyle name="Comma 9 3 2" xfId="688"/>
    <cellStyle name="Comma 9 3 3" xfId="612"/>
    <cellStyle name="Comma 9 4" xfId="557"/>
    <cellStyle name="Comma 9 5" xfId="390"/>
    <cellStyle name="Comma_spp calc - revsd rev crd" xfId="115"/>
    <cellStyle name="Comma0" xfId="116"/>
    <cellStyle name="Comma0 2" xfId="391"/>
    <cellStyle name="Currency" xfId="117" builtinId="4"/>
    <cellStyle name="Currency [0] 2" xfId="346"/>
    <cellStyle name="Currency 10" xfId="558"/>
    <cellStyle name="Currency 10 2" xfId="686"/>
    <cellStyle name="Currency 2" xfId="118"/>
    <cellStyle name="Currency 2 2" xfId="119"/>
    <cellStyle name="Currency 2 2 2" xfId="393"/>
    <cellStyle name="Currency 2 3" xfId="392"/>
    <cellStyle name="Currency 3" xfId="120"/>
    <cellStyle name="Currency 3 2" xfId="121"/>
    <cellStyle name="Currency 3 2 2" xfId="394"/>
    <cellStyle name="Currency 3 3" xfId="122"/>
    <cellStyle name="Currency 3 3 2" xfId="123"/>
    <cellStyle name="Currency 3 3 2 2" xfId="396"/>
    <cellStyle name="Currency 3 3 3" xfId="124"/>
    <cellStyle name="Currency 3 3 3 2" xfId="397"/>
    <cellStyle name="Currency 3 3 4" xfId="395"/>
    <cellStyle name="Currency 3 4" xfId="125"/>
    <cellStyle name="Currency 3 4 2" xfId="126"/>
    <cellStyle name="Currency 3 4 2 2" xfId="399"/>
    <cellStyle name="Currency 3 4 3" xfId="127"/>
    <cellStyle name="Currency 3 4 3 2" xfId="400"/>
    <cellStyle name="Currency 3 4 4" xfId="398"/>
    <cellStyle name="Currency 3 5" xfId="128"/>
    <cellStyle name="Currency 3 5 2" xfId="401"/>
    <cellStyle name="Currency 3 6" xfId="129"/>
    <cellStyle name="Currency 3 6 2" xfId="130"/>
    <cellStyle name="Currency 3 6 2 2" xfId="403"/>
    <cellStyle name="Currency 3 6 3" xfId="402"/>
    <cellStyle name="Currency 3 7" xfId="131"/>
    <cellStyle name="Currency 3 7 2" xfId="559"/>
    <cellStyle name="Currency 3 7 2 2" xfId="708"/>
    <cellStyle name="Currency 3 7 3" xfId="404"/>
    <cellStyle name="Currency 3 8" xfId="405"/>
    <cellStyle name="Currency 3 8 2" xfId="560"/>
    <cellStyle name="Currency 3 8 3" xfId="659"/>
    <cellStyle name="Currency 3 9" xfId="660"/>
    <cellStyle name="Currency 4" xfId="132"/>
    <cellStyle name="Currency 4 2" xfId="133"/>
    <cellStyle name="Currency 4 2 2" xfId="407"/>
    <cellStyle name="Currency 4 3" xfId="561"/>
    <cellStyle name="Currency 4 3 2" xfId="709"/>
    <cellStyle name="Currency 4 3 3" xfId="624"/>
    <cellStyle name="Currency 4 4" xfId="406"/>
    <cellStyle name="Currency 4 4 2" xfId="661"/>
    <cellStyle name="Currency 4 5" xfId="693"/>
    <cellStyle name="Currency 4 6" xfId="600"/>
    <cellStyle name="Currency 5" xfId="134"/>
    <cellStyle name="Currency 5 2" xfId="135"/>
    <cellStyle name="Currency 5 2 2" xfId="409"/>
    <cellStyle name="Currency 5 3" xfId="408"/>
    <cellStyle name="Currency 6" xfId="136"/>
    <cellStyle name="Currency 6 2" xfId="562"/>
    <cellStyle name="Currency 6 2 2" xfId="710"/>
    <cellStyle name="Currency 6 2 3" xfId="625"/>
    <cellStyle name="Currency 6 3" xfId="410"/>
    <cellStyle name="Currency 6 3 2" xfId="662"/>
    <cellStyle name="Currency 6 4" xfId="694"/>
    <cellStyle name="Currency 6 5" xfId="601"/>
    <cellStyle name="Currency 7" xfId="137"/>
    <cellStyle name="Currency 7 2" xfId="563"/>
    <cellStyle name="Currency 7 2 2" xfId="711"/>
    <cellStyle name="Currency 7 3" xfId="411"/>
    <cellStyle name="Currency 8" xfId="345"/>
    <cellStyle name="Currency 8 2" xfId="564"/>
    <cellStyle name="Currency 8 3" xfId="412"/>
    <cellStyle name="Currency 9" xfId="353"/>
    <cellStyle name="Currency 9 2" xfId="663"/>
    <cellStyle name="Currency0" xfId="138"/>
    <cellStyle name="Currency0 2" xfId="413"/>
    <cellStyle name="Date" xfId="139"/>
    <cellStyle name="Date 2" xfId="414"/>
    <cellStyle name="Explanatory Text" xfId="140" builtinId="53" customBuiltin="1"/>
    <cellStyle name="Explanatory Text 2" xfId="141"/>
    <cellStyle name="Fixed" xfId="142"/>
    <cellStyle name="Fixed 2" xfId="415"/>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Input 2 2" xfId="568"/>
    <cellStyle name="Input 2 3" xfId="569"/>
    <cellStyle name="Input 2 3 2" xfId="628"/>
    <cellStyle name="Input 2 4" xfId="566"/>
    <cellStyle name="Input 2 4 2" xfId="627"/>
    <cellStyle name="Input 2 5" xfId="417"/>
    <cellStyle name="Input 3" xfId="567"/>
    <cellStyle name="Input 4" xfId="570"/>
    <cellStyle name="Input 4 2" xfId="629"/>
    <cellStyle name="Input 5" xfId="565"/>
    <cellStyle name="Input 5 2" xfId="626"/>
    <cellStyle name="Input 6" xfId="416"/>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2 2" xfId="419"/>
    <cellStyle name="Normal 10 3" xfId="163"/>
    <cellStyle name="Normal 10 3 2" xfId="420"/>
    <cellStyle name="Normal 10 4" xfId="418"/>
    <cellStyle name="Normal 11" xfId="164"/>
    <cellStyle name="Normal 11 2" xfId="165"/>
    <cellStyle name="Normal 11 2 2" xfId="338"/>
    <cellStyle name="Normal 11 2 2 2" xfId="712"/>
    <cellStyle name="Normal 11 2 3" xfId="664"/>
    <cellStyle name="Normal 11 3" xfId="166"/>
    <cellStyle name="Normal 11 3 2" xfId="422"/>
    <cellStyle name="Normal 11 4" xfId="421"/>
    <cellStyle name="Normal 12" xfId="167"/>
    <cellStyle name="Normal 12 2" xfId="168"/>
    <cellStyle name="Normal 12 2 2" xfId="424"/>
    <cellStyle name="Normal 12 3" xfId="423"/>
    <cellStyle name="Normal 12 4" xfId="169"/>
    <cellStyle name="Normal 12 4 2" xfId="571"/>
    <cellStyle name="Normal 12 4 2 2" xfId="713"/>
    <cellStyle name="Normal 12 4 2 3" xfId="630"/>
    <cellStyle name="Normal 12 4 3" xfId="425"/>
    <cellStyle name="Normal 12 4 3 2" xfId="665"/>
    <cellStyle name="Normal 12 4 4" xfId="695"/>
    <cellStyle name="Normal 12 4 5" xfId="602"/>
    <cellStyle name="Normal 13" xfId="170"/>
    <cellStyle name="Normal 13 2" xfId="171"/>
    <cellStyle name="Normal 13 2 2" xfId="427"/>
    <cellStyle name="Normal 13 3" xfId="426"/>
    <cellStyle name="Normal 14" xfId="172"/>
    <cellStyle name="Normal 14 2" xfId="173"/>
    <cellStyle name="Normal 14 2 2" xfId="429"/>
    <cellStyle name="Normal 14 3" xfId="428"/>
    <cellStyle name="Normal 15" xfId="174"/>
    <cellStyle name="Normal 15 2" xfId="430"/>
    <cellStyle name="Normal 16" xfId="175"/>
    <cellStyle name="Normal 16 2" xfId="176"/>
    <cellStyle name="Normal 16 2 2" xfId="432"/>
    <cellStyle name="Normal 16 3" xfId="431"/>
    <cellStyle name="Normal 17" xfId="177"/>
    <cellStyle name="Normal 17 2" xfId="178"/>
    <cellStyle name="Normal 17 2 2" xfId="434"/>
    <cellStyle name="Normal 17 3" xfId="433"/>
    <cellStyle name="Normal 18" xfId="179"/>
    <cellStyle name="Normal 18 2" xfId="180"/>
    <cellStyle name="Normal 18 2 2" xfId="436"/>
    <cellStyle name="Normal 18 3" xfId="435"/>
    <cellStyle name="Normal 19" xfId="181"/>
    <cellStyle name="Normal 19 2" xfId="182"/>
    <cellStyle name="Normal 19 2 2" xfId="438"/>
    <cellStyle name="Normal 19 3" xfId="437"/>
    <cellStyle name="Normal 2" xfId="183"/>
    <cellStyle name="Normal 2 2" xfId="184"/>
    <cellStyle name="Normal 2 2 2" xfId="185"/>
    <cellStyle name="Normal 2 2 3" xfId="186"/>
    <cellStyle name="Normal 2 2 3 2" xfId="441"/>
    <cellStyle name="Normal 2 2 4" xfId="187"/>
    <cellStyle name="Normal 2 2 4 2" xfId="442"/>
    <cellStyle name="Normal 2 2 5" xfId="440"/>
    <cellStyle name="Normal 2 3" xfId="188"/>
    <cellStyle name="Normal 2 4" xfId="439"/>
    <cellStyle name="Normal 2 5" xfId="189"/>
    <cellStyle name="Normal 2 5 2" xfId="190"/>
    <cellStyle name="Normal 2 5 2 2" xfId="444"/>
    <cellStyle name="Normal 2 5 3" xfId="443"/>
    <cellStyle name="Normal 2 6" xfId="666"/>
    <cellStyle name="Normal 20" xfId="191"/>
    <cellStyle name="Normal 20 2" xfId="192"/>
    <cellStyle name="Normal 20 2 2" xfId="446"/>
    <cellStyle name="Normal 20 3" xfId="445"/>
    <cellStyle name="Normal 21" xfId="193"/>
    <cellStyle name="Normal 21 2" xfId="194"/>
    <cellStyle name="Normal 21 2 2" xfId="448"/>
    <cellStyle name="Normal 21 3" xfId="447"/>
    <cellStyle name="Normal 22" xfId="195"/>
    <cellStyle name="Normal 22 2" xfId="196"/>
    <cellStyle name="Normal 22 2 2" xfId="450"/>
    <cellStyle name="Normal 22 3" xfId="449"/>
    <cellStyle name="Normal 23" xfId="197"/>
    <cellStyle name="Normal 23 2" xfId="198"/>
    <cellStyle name="Normal 23 2 2" xfId="452"/>
    <cellStyle name="Normal 23 3" xfId="451"/>
    <cellStyle name="Normal 24" xfId="199"/>
    <cellStyle name="Normal 24 2" xfId="200"/>
    <cellStyle name="Normal 24 2 2" xfId="454"/>
    <cellStyle name="Normal 24 3" xfId="453"/>
    <cellStyle name="Normal 25" xfId="201"/>
    <cellStyle name="Normal 25 2" xfId="202"/>
    <cellStyle name="Normal 25 2 2" xfId="456"/>
    <cellStyle name="Normal 25 3" xfId="455"/>
    <cellStyle name="Normal 26" xfId="203"/>
    <cellStyle name="Normal 26 2" xfId="204"/>
    <cellStyle name="Normal 26 2 2" xfId="458"/>
    <cellStyle name="Normal 26 3" xfId="457"/>
    <cellStyle name="Normal 27" xfId="205"/>
    <cellStyle name="Normal 27 2" xfId="459"/>
    <cellStyle name="Normal 28" xfId="206"/>
    <cellStyle name="Normal 28 2" xfId="207"/>
    <cellStyle name="Normal 28 2 2" xfId="461"/>
    <cellStyle name="Normal 28 3" xfId="460"/>
    <cellStyle name="Normal 29" xfId="208"/>
    <cellStyle name="Normal 29 2" xfId="209"/>
    <cellStyle name="Normal 29 2 2" xfId="463"/>
    <cellStyle name="Normal 29 3" xfId="462"/>
    <cellStyle name="Normal 3" xfId="210"/>
    <cellStyle name="Normal 3 2" xfId="211"/>
    <cellStyle name="Normal 3 2 2" xfId="465"/>
    <cellStyle name="Normal 3 3" xfId="212"/>
    <cellStyle name="Normal 3 3 2" xfId="466"/>
    <cellStyle name="Normal 3 4" xfId="464"/>
    <cellStyle name="Normal 3_Attach O, GG, Support -New Method 2-14-11" xfId="213"/>
    <cellStyle name="Normal 30" xfId="336"/>
    <cellStyle name="Normal 30 2" xfId="537"/>
    <cellStyle name="Normal 30 2 2" xfId="667"/>
    <cellStyle name="Normal 30 3" xfId="724"/>
    <cellStyle name="Normal 31" xfId="341"/>
    <cellStyle name="Normal 31 2" xfId="337"/>
    <cellStyle name="Normal 31 2 2" xfId="351"/>
    <cellStyle name="Normal 31 2 2 2" xfId="645"/>
    <cellStyle name="Normal 31 2 3" xfId="687"/>
    <cellStyle name="Normal 31 2 4" xfId="725"/>
    <cellStyle name="Normal 31 2 5" xfId="609"/>
    <cellStyle name="Normal 31 3" xfId="349"/>
    <cellStyle name="Normal 31 3 2" xfId="682"/>
    <cellStyle name="Normal 31 4" xfId="726"/>
    <cellStyle name="Normal 31 5" xfId="611"/>
    <cellStyle name="Normal 32" xfId="344"/>
    <cellStyle name="Normal 33" xfId="352"/>
    <cellStyle name="Normal 34" xfId="649"/>
    <cellStyle name="Normal 4" xfId="214"/>
    <cellStyle name="Normal 4 10" xfId="668"/>
    <cellStyle name="Normal 4 2" xfId="215"/>
    <cellStyle name="Normal 4 2 2" xfId="467"/>
    <cellStyle name="Normal 4 3" xfId="216"/>
    <cellStyle name="Normal 4 3 2" xfId="217"/>
    <cellStyle name="Normal 4 3 2 2" xfId="469"/>
    <cellStyle name="Normal 4 3 3" xfId="218"/>
    <cellStyle name="Normal 4 3 3 2" xfId="470"/>
    <cellStyle name="Normal 4 3 4" xfId="468"/>
    <cellStyle name="Normal 4 4" xfId="219"/>
    <cellStyle name="Normal 4 4 2" xfId="220"/>
    <cellStyle name="Normal 4 4 2 2" xfId="472"/>
    <cellStyle name="Normal 4 4 3" xfId="221"/>
    <cellStyle name="Normal 4 4 3 2" xfId="473"/>
    <cellStyle name="Normal 4 4 4" xfId="471"/>
    <cellStyle name="Normal 4 5" xfId="222"/>
    <cellStyle name="Normal 4 5 2" xfId="474"/>
    <cellStyle name="Normal 4 6" xfId="223"/>
    <cellStyle name="Normal 4 6 2" xfId="224"/>
    <cellStyle name="Normal 4 6 2 2" xfId="476"/>
    <cellStyle name="Normal 4 6 3" xfId="475"/>
    <cellStyle name="Normal 4 7" xfId="225"/>
    <cellStyle name="Normal 4 7 2" xfId="226"/>
    <cellStyle name="Normal 4 7 2 2" xfId="478"/>
    <cellStyle name="Normal 4 7 3" xfId="477"/>
    <cellStyle name="Normal 4 8" xfId="227"/>
    <cellStyle name="Normal 4 8 2" xfId="572"/>
    <cellStyle name="Normal 4 8 2 2" xfId="714"/>
    <cellStyle name="Normal 4 8 3" xfId="479"/>
    <cellStyle name="Normal 4 9" xfId="480"/>
    <cellStyle name="Normal 4 9 2" xfId="573"/>
    <cellStyle name="Normal 4 9 3" xfId="669"/>
    <cellStyle name="Normal 4_PBOP Exhibit 1" xfId="228"/>
    <cellStyle name="Normal 5" xfId="229"/>
    <cellStyle name="Normal 5 2" xfId="230"/>
    <cellStyle name="Normal 5 2 2" xfId="231"/>
    <cellStyle name="Normal 5 2 2 2" xfId="482"/>
    <cellStyle name="Normal 5 2 3" xfId="481"/>
    <cellStyle name="Normal 5 3" xfId="232"/>
    <cellStyle name="Normal 5 3 2" xfId="483"/>
    <cellStyle name="Normal 5 4" xfId="233"/>
    <cellStyle name="Normal 5 4 2" xfId="484"/>
    <cellStyle name="Normal 5 5" xfId="348"/>
    <cellStyle name="Normal 6" xfId="234"/>
    <cellStyle name="Normal 6 2" xfId="235"/>
    <cellStyle name="Normal 6 2 2" xfId="236"/>
    <cellStyle name="Normal 6 2 2 2" xfId="487"/>
    <cellStyle name="Normal 6 2 3" xfId="237"/>
    <cellStyle name="Normal 6 2 3 2" xfId="488"/>
    <cellStyle name="Normal 6 2 4" xfId="486"/>
    <cellStyle name="Normal 6 3" xfId="238"/>
    <cellStyle name="Normal 6 3 2" xfId="239"/>
    <cellStyle name="Normal 6 3 2 2" xfId="490"/>
    <cellStyle name="Normal 6 3 3" xfId="489"/>
    <cellStyle name="Normal 6 4" xfId="240"/>
    <cellStyle name="Normal 6 4 2" xfId="241"/>
    <cellStyle name="Normal 6 4 2 2" xfId="492"/>
    <cellStyle name="Normal 6 4 3" xfId="491"/>
    <cellStyle name="Normal 6 5" xfId="574"/>
    <cellStyle name="Normal 6 5 2" xfId="715"/>
    <cellStyle name="Normal 6 5 3" xfId="631"/>
    <cellStyle name="Normal 6 6" xfId="485"/>
    <cellStyle name="Normal 6 6 2" xfId="670"/>
    <cellStyle name="Normal 6 7" xfId="696"/>
    <cellStyle name="Normal 6 8" xfId="603"/>
    <cellStyle name="Normal 7" xfId="242"/>
    <cellStyle name="Normal 7 2" xfId="243"/>
    <cellStyle name="Normal 7 2 2" xfId="494"/>
    <cellStyle name="Normal 7 3" xfId="576"/>
    <cellStyle name="Normal 7 3 2" xfId="716"/>
    <cellStyle name="Normal 7 3 3" xfId="633"/>
    <cellStyle name="Normal 7 4" xfId="493"/>
    <cellStyle name="Normal 7 4 2" xfId="671"/>
    <cellStyle name="Normal 7 5" xfId="697"/>
    <cellStyle name="Normal 7 6" xfId="604"/>
    <cellStyle name="Normal 8" xfId="244"/>
    <cellStyle name="Normal 8 2" xfId="245"/>
    <cellStyle name="Normal 8 2 2" xfId="496"/>
    <cellStyle name="Normal 8 3" xfId="578"/>
    <cellStyle name="Normal 8 3 2" xfId="717"/>
    <cellStyle name="Normal 8 3 3" xfId="635"/>
    <cellStyle name="Normal 8 4" xfId="495"/>
    <cellStyle name="Normal 8 4 2" xfId="672"/>
    <cellStyle name="Normal 8 5" xfId="698"/>
    <cellStyle name="Normal 8 6" xfId="605"/>
    <cellStyle name="Normal 9" xfId="246"/>
    <cellStyle name="Normal 9 2" xfId="247"/>
    <cellStyle name="Normal 9 2 2" xfId="498"/>
    <cellStyle name="Normal 9 3" xfId="579"/>
    <cellStyle name="Normal 9 3 2" xfId="718"/>
    <cellStyle name="Normal 9 3 3" xfId="636"/>
    <cellStyle name="Normal 9 4" xfId="497"/>
    <cellStyle name="Normal 9 4 2" xfId="673"/>
    <cellStyle name="Normal 9 5" xfId="699"/>
    <cellStyle name="Normal 9 6" xfId="606"/>
    <cellStyle name="Normal_21 Exh B" xfId="248"/>
    <cellStyle name="Normal_ADITAnalysisID090805" xfId="249"/>
    <cellStyle name="Normal_ADITAnalysisID090805 2" xfId="250"/>
    <cellStyle name="Normal_ADITAnalysisID090805 2 2" xfId="251"/>
    <cellStyle name="Normal_ADITAnalysisID090805 2 2 2" xfId="252"/>
    <cellStyle name="Normal_ADITAnalysisID090805 3" xfId="253"/>
    <cellStyle name="Normal_ADITAnalysisID090805 4 2 2" xfId="499"/>
    <cellStyle name="Normal_ATC Projected 2008 Monthly Plant Balances for Attachment O 2 (2)" xfId="254"/>
    <cellStyle name="Normal_AU Period 2 Rev 4-27-00" xfId="255"/>
    <cellStyle name="Normal_DeprRateAuth East Dave Davis" xfId="256"/>
    <cellStyle name="Normal_DeprRateAuth East Dave Davis 2 2" xfId="728"/>
    <cellStyle name="Normal_FN1 Ratebase Draft SPP template (6-11-04) v2" xfId="257"/>
    <cellStyle name="Normal_I&amp;M-AK-1" xfId="258"/>
    <cellStyle name="Normal_Revised 1-21-10  Deprec Summary" xfId="259"/>
    <cellStyle name="Normal_Schedule O Info for Mike" xfId="260"/>
    <cellStyle name="Normal_spp calc - revsd rev crd" xfId="261"/>
    <cellStyle name="Note" xfId="262" builtinId="10" customBuiltin="1"/>
    <cellStyle name="Note 2" xfId="263"/>
    <cellStyle name="Note 2 2" xfId="581"/>
    <cellStyle name="Note 2 2 2" xfId="638"/>
    <cellStyle name="Note 2 3" xfId="542"/>
    <cellStyle name="Note 2 3 2" xfId="616"/>
    <cellStyle name="Note 2 4" xfId="582"/>
    <cellStyle name="Note 2 4 2" xfId="639"/>
    <cellStyle name="Note 2 5" xfId="501"/>
    <cellStyle name="Note 3" xfId="580"/>
    <cellStyle name="Note 3 2" xfId="637"/>
    <cellStyle name="Note 4" xfId="543"/>
    <cellStyle name="Note 4 2" xfId="617"/>
    <cellStyle name="Note 5" xfId="593"/>
    <cellStyle name="Note 5 2" xfId="646"/>
    <cellStyle name="Note 6" xfId="500"/>
    <cellStyle name="Output" xfId="264" builtinId="21" customBuiltin="1"/>
    <cellStyle name="Output 2" xfId="265"/>
    <cellStyle name="Output 2 2" xfId="540"/>
    <cellStyle name="Output 2 2 2" xfId="614"/>
    <cellStyle name="Output 2 3" xfId="584"/>
    <cellStyle name="Output 2 3 2" xfId="641"/>
    <cellStyle name="Output 3" xfId="541"/>
    <cellStyle name="Output 3 2" xfId="615"/>
    <cellStyle name="Output 4" xfId="583"/>
    <cellStyle name="Output 4 2" xfId="640"/>
    <cellStyle name="Percent" xfId="266" builtinId="5"/>
    <cellStyle name="Percent 10" xfId="536"/>
    <cellStyle name="Percent 10 2" xfId="674"/>
    <cellStyle name="Percent 11" xfId="683"/>
    <cellStyle name="Percent 2" xfId="267"/>
    <cellStyle name="Percent 2 2" xfId="268"/>
    <cellStyle name="Percent 2 2 2" xfId="340"/>
    <cellStyle name="Percent 2 2 2 2" xfId="719"/>
    <cellStyle name="Percent 2 2 3" xfId="676"/>
    <cellStyle name="Percent 2 3" xfId="675"/>
    <cellStyle name="Percent 3" xfId="269"/>
    <cellStyle name="Percent 3 2" xfId="270"/>
    <cellStyle name="Percent 3 2 2" xfId="502"/>
    <cellStyle name="Percent 3 3" xfId="271"/>
    <cellStyle name="Percent 3 3 2" xfId="272"/>
    <cellStyle name="Percent 3 3 2 2" xfId="504"/>
    <cellStyle name="Percent 3 3 3" xfId="273"/>
    <cellStyle name="Percent 3 3 3 2" xfId="505"/>
    <cellStyle name="Percent 3 3 4" xfId="503"/>
    <cellStyle name="Percent 3 4" xfId="274"/>
    <cellStyle name="Percent 3 4 2" xfId="275"/>
    <cellStyle name="Percent 3 4 2 2" xfId="507"/>
    <cellStyle name="Percent 3 4 3" xfId="276"/>
    <cellStyle name="Percent 3 4 3 2" xfId="508"/>
    <cellStyle name="Percent 3 4 4" xfId="506"/>
    <cellStyle name="Percent 3 5" xfId="277"/>
    <cellStyle name="Percent 3 5 2" xfId="509"/>
    <cellStyle name="Percent 3 6" xfId="278"/>
    <cellStyle name="Percent 3 6 2" xfId="279"/>
    <cellStyle name="Percent 3 6 2 2" xfId="511"/>
    <cellStyle name="Percent 3 6 3" xfId="510"/>
    <cellStyle name="Percent 3 7" xfId="280"/>
    <cellStyle name="Percent 3 7 2" xfId="587"/>
    <cellStyle name="Percent 3 7 2 2" xfId="720"/>
    <cellStyle name="Percent 3 7 3" xfId="512"/>
    <cellStyle name="Percent 3 8" xfId="513"/>
    <cellStyle name="Percent 3 8 2" xfId="588"/>
    <cellStyle name="Percent 3 8 3" xfId="677"/>
    <cellStyle name="Percent 3 9" xfId="678"/>
    <cellStyle name="Percent 4" xfId="281"/>
    <cellStyle name="Percent 4 2" xfId="282"/>
    <cellStyle name="Percent 4 2 2" xfId="515"/>
    <cellStyle name="Percent 4 3" xfId="283"/>
    <cellStyle name="Percent 4 3 2" xfId="516"/>
    <cellStyle name="Percent 4 4" xfId="589"/>
    <cellStyle name="Percent 4 4 2" xfId="721"/>
    <cellStyle name="Percent 4 4 3" xfId="643"/>
    <cellStyle name="Percent 4 5" xfId="514"/>
    <cellStyle name="Percent 4 5 2" xfId="679"/>
    <cellStyle name="Percent 4 6" xfId="700"/>
    <cellStyle name="Percent 4 7" xfId="607"/>
    <cellStyle name="Percent 5" xfId="284"/>
    <cellStyle name="Percent 5 2" xfId="285"/>
    <cellStyle name="Percent 5 2 2" xfId="518"/>
    <cellStyle name="Percent 5 3" xfId="517"/>
    <cellStyle name="Percent 6" xfId="286"/>
    <cellStyle name="Percent 6 2" xfId="590"/>
    <cellStyle name="Percent 6 2 2" xfId="722"/>
    <cellStyle name="Percent 6 2 3" xfId="644"/>
    <cellStyle name="Percent 6 3" xfId="519"/>
    <cellStyle name="Percent 6 3 2" xfId="680"/>
    <cellStyle name="Percent 6 4" xfId="701"/>
    <cellStyle name="Percent 6 5" xfId="608"/>
    <cellStyle name="Percent 7" xfId="287"/>
    <cellStyle name="Percent 7 2" xfId="288"/>
    <cellStyle name="Percent 7 2 2" xfId="521"/>
    <cellStyle name="Percent 7 3" xfId="289"/>
    <cellStyle name="Percent 7 3 2" xfId="522"/>
    <cellStyle name="Percent 7 4" xfId="520"/>
    <cellStyle name="Percent 7 5" xfId="681"/>
    <cellStyle name="Percent 8" xfId="290"/>
    <cellStyle name="Percent 8 2" xfId="591"/>
    <cellStyle name="Percent 8 2 2" xfId="723"/>
    <cellStyle name="Percent 8 3" xfId="523"/>
    <cellStyle name="Percent 9" xfId="339"/>
    <cellStyle name="Percent 9 2" xfId="592"/>
    <cellStyle name="Percent 9 3" xfId="524"/>
    <cellStyle name="PSChar" xfId="291"/>
    <cellStyle name="PSDate" xfId="292"/>
    <cellStyle name="PSDec" xfId="293"/>
    <cellStyle name="PSdesc" xfId="294"/>
    <cellStyle name="PSdesc 2" xfId="525"/>
    <cellStyle name="PSHeading" xfId="295"/>
    <cellStyle name="PSInt" xfId="296"/>
    <cellStyle name="PSSpacer" xfId="297"/>
    <cellStyle name="PStest" xfId="298"/>
    <cellStyle name="PStest 2" xfId="526"/>
    <cellStyle name="R00A" xfId="299"/>
    <cellStyle name="R00B" xfId="300"/>
    <cellStyle name="R00L" xfId="301"/>
    <cellStyle name="R01A" xfId="302"/>
    <cellStyle name="R01B" xfId="303"/>
    <cellStyle name="R01B 2" xfId="595"/>
    <cellStyle name="R01B 2 2" xfId="648"/>
    <cellStyle name="R01H" xfId="304"/>
    <cellStyle name="R01L" xfId="305"/>
    <cellStyle name="R02A" xfId="306"/>
    <cellStyle name="R02B" xfId="307"/>
    <cellStyle name="R02B 2" xfId="527"/>
    <cellStyle name="R02H" xfId="308"/>
    <cellStyle name="R02L" xfId="309"/>
    <cellStyle name="R03A" xfId="310"/>
    <cellStyle name="R03B" xfId="311"/>
    <cellStyle name="R03B 2" xfId="528"/>
    <cellStyle name="R03H" xfId="312"/>
    <cellStyle name="R03L" xfId="313"/>
    <cellStyle name="R04A" xfId="314"/>
    <cellStyle name="R04B" xfId="315"/>
    <cellStyle name="R04B 2" xfId="529"/>
    <cellStyle name="R04H" xfId="316"/>
    <cellStyle name="R04L" xfId="317"/>
    <cellStyle name="R05A" xfId="318"/>
    <cellStyle name="R05B" xfId="319"/>
    <cellStyle name="R05B 2" xfId="530"/>
    <cellStyle name="R05H" xfId="320"/>
    <cellStyle name="R05L" xfId="321"/>
    <cellStyle name="R05L 2" xfId="531"/>
    <cellStyle name="R06A" xfId="322"/>
    <cellStyle name="R06B" xfId="323"/>
    <cellStyle name="R06B 2" xfId="532"/>
    <cellStyle name="R06H" xfId="324"/>
    <cellStyle name="R06L" xfId="325"/>
    <cellStyle name="R07A" xfId="326"/>
    <cellStyle name="R07B" xfId="327"/>
    <cellStyle name="R07B 2" xfId="533"/>
    <cellStyle name="R07H" xfId="328"/>
    <cellStyle name="R07L" xfId="329"/>
    <cellStyle name="Title" xfId="330" builtinId="15" customBuiltin="1"/>
    <cellStyle name="Title 2" xfId="331"/>
    <cellStyle name="Total" xfId="332" builtinId="25" customBuiltin="1"/>
    <cellStyle name="Total 2" xfId="333"/>
    <cellStyle name="Total 2 2" xfId="535"/>
    <cellStyle name="Total 3" xfId="534"/>
    <cellStyle name="Warning Text" xfId="334" builtinId="11" customBuiltin="1"/>
    <cellStyle name="Warning Text 2" xfId="335"/>
  </cellStyles>
  <dxfs count="2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2"/>
  <sheetViews>
    <sheetView tabSelected="1" view="pageBreakPreview" zoomScale="70" zoomScaleNormal="85" zoomScaleSheetLayoutView="70" zoomScalePageLayoutView="50" workbookViewId="0">
      <selection activeCell="G20" sqref="G20"/>
    </sheetView>
  </sheetViews>
  <sheetFormatPr defaultColWidth="11.42578125" defaultRowHeight="15"/>
  <cols>
    <col min="1" max="1" width="4.5703125" style="340" customWidth="1"/>
    <col min="2" max="2" width="7.85546875" style="339" customWidth="1"/>
    <col min="3" max="3" width="1.85546875" style="340" customWidth="1"/>
    <col min="4" max="4" width="70.140625" style="340" customWidth="1"/>
    <col min="5" max="5" width="25.5703125" style="340" customWidth="1"/>
    <col min="6" max="6" width="22.42578125" style="340" customWidth="1"/>
    <col min="7" max="7" width="20.5703125" style="340" customWidth="1"/>
    <col min="8" max="8" width="16.140625" style="340" customWidth="1"/>
    <col min="9" max="9" width="14.140625" style="340" customWidth="1"/>
    <col min="10" max="10" width="21.5703125" style="340" bestFit="1" customWidth="1"/>
    <col min="11" max="11" width="4.5703125" style="340" customWidth="1"/>
    <col min="12" max="12" width="23" style="340" customWidth="1"/>
    <col min="13" max="13" width="5" style="340" customWidth="1"/>
    <col min="14" max="14" width="31.140625" style="340" customWidth="1"/>
    <col min="15" max="15" width="8.140625" style="340" customWidth="1"/>
    <col min="16" max="16" width="21.85546875" style="340" customWidth="1"/>
    <col min="17" max="17" width="11.42578125" style="340" customWidth="1"/>
    <col min="18" max="18" width="20.5703125" style="340" bestFit="1" customWidth="1"/>
    <col min="19" max="16384" width="11.42578125" style="340"/>
  </cols>
  <sheetData>
    <row r="1" spans="1:15" ht="15.75">
      <c r="A1" s="943" t="s">
        <v>116</v>
      </c>
    </row>
    <row r="2" spans="1:15" ht="15.75">
      <c r="A2" s="943" t="s">
        <v>116</v>
      </c>
    </row>
    <row r="3" spans="1:15" ht="15.75">
      <c r="D3" s="341"/>
      <c r="E3" s="342"/>
      <c r="F3" s="342"/>
      <c r="G3" s="343"/>
      <c r="I3" s="344"/>
      <c r="J3" s="344"/>
      <c r="K3" s="344"/>
      <c r="L3" s="345"/>
    </row>
    <row r="4" spans="1:15">
      <c r="J4" s="340" t="s">
        <v>830</v>
      </c>
      <c r="L4" s="1466">
        <v>2020</v>
      </c>
    </row>
    <row r="5" spans="1:15">
      <c r="D5" s="346"/>
      <c r="E5" s="346"/>
      <c r="F5" s="347" t="s">
        <v>387</v>
      </c>
      <c r="G5" s="348"/>
      <c r="H5" s="348"/>
      <c r="J5" s="346"/>
      <c r="K5" s="349"/>
      <c r="L5" s="349"/>
      <c r="M5" s="350"/>
      <c r="O5" s="351"/>
    </row>
    <row r="6" spans="1:15">
      <c r="D6" s="346"/>
      <c r="E6" s="352"/>
      <c r="F6" s="347" t="s">
        <v>388</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ht="15.75">
      <c r="B9" s="354"/>
      <c r="C9" s="355"/>
      <c r="D9" s="357"/>
      <c r="E9" s="349"/>
      <c r="F9" s="358" t="s">
        <v>903</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171</v>
      </c>
      <c r="C11" s="355"/>
      <c r="D11" s="349"/>
      <c r="E11" s="349"/>
      <c r="F11" s="349"/>
      <c r="G11" s="359"/>
      <c r="H11" s="349"/>
      <c r="I11" s="349"/>
      <c r="J11" s="349"/>
      <c r="K11" s="349"/>
      <c r="L11" s="355" t="s">
        <v>117</v>
      </c>
      <c r="M11" s="349"/>
    </row>
    <row r="12" spans="1:15" ht="15.75" thickBot="1">
      <c r="B12" s="361" t="s">
        <v>119</v>
      </c>
      <c r="C12" s="362"/>
      <c r="D12" s="349"/>
      <c r="E12" s="362"/>
      <c r="F12" s="349"/>
      <c r="G12" s="349"/>
      <c r="H12" s="349"/>
      <c r="I12" s="349"/>
      <c r="J12" s="349"/>
      <c r="K12" s="349"/>
      <c r="L12" s="363" t="s">
        <v>172</v>
      </c>
      <c r="M12" s="349"/>
    </row>
    <row r="13" spans="1:15">
      <c r="B13" s="354">
        <f>1</f>
        <v>1</v>
      </c>
      <c r="C13" s="355"/>
      <c r="D13" s="364" t="s">
        <v>113</v>
      </c>
      <c r="E13" s="365" t="str">
        <f>"(ln "&amp;B213&amp;")"</f>
        <v>(ln 130)</v>
      </c>
      <c r="F13" s="365"/>
      <c r="G13" s="366"/>
      <c r="H13" s="367"/>
      <c r="I13" s="349"/>
      <c r="J13" s="349"/>
      <c r="K13" s="349"/>
      <c r="L13" s="368">
        <f>+L213</f>
        <v>65104305.422606125</v>
      </c>
      <c r="M13" s="349"/>
    </row>
    <row r="14" spans="1:15" ht="15.75" thickBot="1">
      <c r="B14" s="354"/>
      <c r="C14" s="355"/>
      <c r="E14" s="369"/>
      <c r="F14" s="370"/>
      <c r="G14" s="363" t="s">
        <v>120</v>
      </c>
      <c r="H14" s="352"/>
      <c r="I14" s="371" t="s">
        <v>121</v>
      </c>
      <c r="J14" s="371"/>
      <c r="K14" s="349"/>
      <c r="L14" s="366"/>
      <c r="M14" s="349"/>
    </row>
    <row r="15" spans="1:15">
      <c r="B15" s="354">
        <f>+B13+1</f>
        <v>2</v>
      </c>
      <c r="C15" s="355"/>
      <c r="D15" s="372" t="s">
        <v>170</v>
      </c>
      <c r="E15" s="369" t="s">
        <v>622</v>
      </c>
      <c r="F15" s="370"/>
      <c r="G15" s="373">
        <f>+'WS E Rev Credits'!K31</f>
        <v>453115.09</v>
      </c>
      <c r="H15" s="370"/>
      <c r="I15" s="374" t="s">
        <v>131</v>
      </c>
      <c r="J15" s="375">
        <v>1</v>
      </c>
      <c r="K15" s="352"/>
      <c r="L15" s="376">
        <f>+J15*G15</f>
        <v>453115.09</v>
      </c>
      <c r="M15" s="349"/>
    </row>
    <row r="16" spans="1:15">
      <c r="B16" s="354"/>
      <c r="C16" s="355"/>
      <c r="D16" s="372"/>
      <c r="F16" s="352"/>
      <c r="L16" s="377"/>
      <c r="M16" s="349"/>
    </row>
    <row r="17" spans="2:13">
      <c r="B17" s="354"/>
      <c r="C17" s="355"/>
      <c r="D17" s="372"/>
      <c r="F17" s="352"/>
      <c r="L17" s="378"/>
      <c r="M17" s="349"/>
    </row>
    <row r="18" spans="2:13">
      <c r="B18" s="354">
        <f>+B15+1</f>
        <v>3</v>
      </c>
      <c r="C18" s="355"/>
      <c r="D18" s="372" t="s">
        <v>536</v>
      </c>
      <c r="E18" s="340" t="s">
        <v>623</v>
      </c>
      <c r="F18" s="352"/>
      <c r="L18" s="376">
        <f>'WS E Rev Credits'!K39</f>
        <v>0</v>
      </c>
      <c r="M18" s="349"/>
    </row>
    <row r="19" spans="2:13">
      <c r="B19" s="354"/>
      <c r="C19" s="355"/>
      <c r="D19" s="372"/>
      <c r="F19" s="352"/>
      <c r="L19" s="378"/>
      <c r="M19" s="349"/>
    </row>
    <row r="20" spans="2:13" ht="15.75" thickBot="1">
      <c r="B20" s="379">
        <f>+B18+1</f>
        <v>4</v>
      </c>
      <c r="C20" s="380"/>
      <c r="D20" s="381" t="s">
        <v>466</v>
      </c>
      <c r="E20" s="382" t="str">
        <f>"(ln "&amp;B13&amp;" less  ln " &amp;B15&amp;" plus ln "&amp;B18&amp;")"</f>
        <v>(ln 1 less  ln 2 plus ln 3)</v>
      </c>
      <c r="F20" s="349"/>
      <c r="H20" s="352"/>
      <c r="I20" s="383"/>
      <c r="J20" s="352"/>
      <c r="K20" s="352"/>
      <c r="L20" s="384">
        <f>+L13-L15+L18</f>
        <v>64651190.332606122</v>
      </c>
      <c r="M20" s="349"/>
    </row>
    <row r="21" spans="2:13" ht="15.75"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48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89"/>
      <c r="D24" s="1489"/>
      <c r="E24" s="1489"/>
      <c r="F24" s="1489"/>
      <c r="G24" s="1489"/>
      <c r="H24" s="1489"/>
      <c r="I24" s="1489"/>
    </row>
    <row r="25" spans="2:13" ht="35.25" customHeight="1">
      <c r="B25" s="1489"/>
      <c r="C25" s="1489"/>
      <c r="D25" s="1489"/>
      <c r="E25" s="1489"/>
      <c r="F25" s="1489"/>
      <c r="G25" s="1489"/>
      <c r="H25" s="1489"/>
      <c r="I25" s="1489"/>
    </row>
    <row r="26" spans="2:13" ht="15" customHeight="1">
      <c r="B26" s="386"/>
      <c r="C26" s="386"/>
      <c r="D26" s="386"/>
      <c r="E26" s="386"/>
      <c r="F26" s="386"/>
      <c r="G26" s="386"/>
      <c r="H26" s="386"/>
      <c r="I26" s="386"/>
    </row>
    <row r="27" spans="2:13">
      <c r="B27" s="354">
        <f>+B20+1</f>
        <v>5</v>
      </c>
      <c r="C27" s="380"/>
      <c r="D27" s="387" t="s">
        <v>537</v>
      </c>
      <c r="E27" s="369"/>
      <c r="F27" s="370"/>
      <c r="G27" s="388">
        <f>+'WS J PROJECTED RTEP RR'!M26</f>
        <v>0</v>
      </c>
      <c r="H27" s="370"/>
      <c r="I27" s="374" t="s">
        <v>131</v>
      </c>
      <c r="J27" s="375">
        <v>1</v>
      </c>
      <c r="K27" s="365"/>
      <c r="L27" s="389">
        <f>+J27*G27</f>
        <v>0</v>
      </c>
      <c r="M27" s="349"/>
    </row>
    <row r="28" spans="2:13">
      <c r="B28" s="354"/>
      <c r="C28" s="380"/>
      <c r="D28" s="387"/>
      <c r="E28" s="382"/>
      <c r="F28" s="370"/>
      <c r="G28" s="388"/>
      <c r="H28" s="370"/>
      <c r="I28" s="370"/>
      <c r="J28" s="375"/>
      <c r="K28" s="365"/>
      <c r="L28" s="389"/>
      <c r="M28" s="349"/>
    </row>
    <row r="29" spans="2:13">
      <c r="B29" s="379">
        <f>+B27+1</f>
        <v>6</v>
      </c>
      <c r="C29" s="380"/>
      <c r="D29" s="387" t="s">
        <v>375</v>
      </c>
      <c r="E29" s="369"/>
      <c r="F29" s="349"/>
      <c r="G29" s="390"/>
      <c r="H29" s="349"/>
      <c r="J29" s="349"/>
      <c r="K29" s="349"/>
      <c r="M29" s="349"/>
    </row>
    <row r="30" spans="2:13">
      <c r="B30" s="354">
        <f>B29+1</f>
        <v>7</v>
      </c>
      <c r="C30" s="380"/>
      <c r="D30" s="391" t="s">
        <v>252</v>
      </c>
      <c r="E30" s="365" t="str">
        <f>"( (ln "&amp;B13&amp;" - ln "&amp;B168&amp;")/((ln "&amp;$B$91&amp;") x 100) )"</f>
        <v>( (ln 1 - ln 95)/((ln 42) x 100) )</v>
      </c>
      <c r="F30" s="355"/>
      <c r="G30" s="355"/>
      <c r="H30" s="355"/>
      <c r="I30" s="392"/>
      <c r="J30" s="392"/>
      <c r="K30" s="392"/>
      <c r="L30" s="393">
        <f>(L13-L168)/L$91</f>
        <v>0.15233633557221363</v>
      </c>
      <c r="M30" s="349"/>
    </row>
    <row r="31" spans="2:13">
      <c r="B31" s="354">
        <f>B30+1</f>
        <v>8</v>
      </c>
      <c r="C31" s="380"/>
      <c r="D31" s="391" t="s">
        <v>253</v>
      </c>
      <c r="E31" s="365" t="str">
        <f>"(ln "&amp;B30&amp;" / 12)"</f>
        <v>(ln 7 / 12)</v>
      </c>
      <c r="F31" s="355"/>
      <c r="G31" s="355"/>
      <c r="H31" s="355"/>
      <c r="I31" s="392"/>
      <c r="J31" s="392"/>
      <c r="K31" s="392"/>
      <c r="L31" s="394">
        <f>L30/12</f>
        <v>1.2694694631017802E-2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252</v>
      </c>
      <c r="E34" s="365" t="str">
        <f>"( (ln "&amp;B13&amp;" - ln "&amp;B168&amp;" - ln "&amp;B174&amp;" ) /((ln "&amp;$B$91&amp;") x 100) )"</f>
        <v>( (ln 1 - ln 95 - ln 100 ) /((ln 42) x 100) )</v>
      </c>
      <c r="F34" s="355"/>
      <c r="G34" s="355"/>
      <c r="H34" s="355"/>
      <c r="I34" s="392"/>
      <c r="J34" s="392"/>
      <c r="K34" s="392"/>
      <c r="L34" s="393">
        <f>(L13-L168-L174)/L91</f>
        <v>0.11105211956921898</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252</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4.2805834525450157E-2</v>
      </c>
      <c r="M37" s="357"/>
    </row>
    <row r="38" spans="2:14">
      <c r="B38" s="354"/>
      <c r="C38" s="380"/>
      <c r="D38" s="346"/>
      <c r="E38" s="365"/>
      <c r="F38" s="355"/>
      <c r="G38" s="355"/>
      <c r="H38" s="355"/>
      <c r="I38" s="392"/>
      <c r="J38" s="392"/>
      <c r="K38" s="392"/>
      <c r="L38" s="393"/>
      <c r="M38" s="397"/>
    </row>
    <row r="39" spans="2:14">
      <c r="B39" s="354">
        <f>B37+1</f>
        <v>13</v>
      </c>
      <c r="C39" s="355"/>
      <c r="D39" s="398" t="s">
        <v>593</v>
      </c>
      <c r="E39" s="365"/>
      <c r="F39" s="355"/>
      <c r="G39" s="355"/>
      <c r="H39" s="355"/>
      <c r="I39" s="392"/>
      <c r="J39" s="392"/>
      <c r="K39" s="392"/>
      <c r="L39" s="399">
        <f>'WS K TRUE-UP RTEP RR'!P23</f>
        <v>0</v>
      </c>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ht="15.75">
      <c r="B42" s="354">
        <f>+B39+1</f>
        <v>14</v>
      </c>
      <c r="C42" s="355"/>
      <c r="D42" s="1495" t="s">
        <v>434</v>
      </c>
      <c r="E42" s="1495"/>
      <c r="F42" s="1495"/>
      <c r="G42" s="1495"/>
      <c r="H42" s="1495"/>
      <c r="I42" s="1495"/>
      <c r="J42" s="1495"/>
      <c r="K42" s="1495"/>
      <c r="L42" s="1495"/>
      <c r="M42" s="349"/>
    </row>
    <row r="43" spans="2:14">
      <c r="B43" s="354"/>
      <c r="C43" s="355"/>
      <c r="E43" s="365"/>
      <c r="F43" s="355"/>
      <c r="G43" s="355"/>
      <c r="H43" s="355"/>
      <c r="I43" s="392"/>
      <c r="J43" s="392"/>
      <c r="K43" s="392"/>
      <c r="L43" s="393"/>
      <c r="M43" s="349"/>
    </row>
    <row r="44" spans="2:14">
      <c r="B44" s="354">
        <f>+B42+1</f>
        <v>15</v>
      </c>
      <c r="C44" s="355"/>
      <c r="D44" s="364" t="s">
        <v>436</v>
      </c>
      <c r="E44" s="365" t="str">
        <f>"Line "&amp;B146&amp;" Below"</f>
        <v>Line 75 Below</v>
      </c>
      <c r="F44" s="355"/>
      <c r="H44" s="355"/>
      <c r="I44" s="392"/>
      <c r="J44" s="392"/>
      <c r="K44" s="392"/>
      <c r="L44" s="400">
        <f>+G146</f>
        <v>1780785.34</v>
      </c>
      <c r="M44" s="365"/>
      <c r="N44" s="345"/>
    </row>
    <row r="45" spans="2:14">
      <c r="B45" s="354">
        <f>+B44+1</f>
        <v>16</v>
      </c>
      <c r="C45" s="355"/>
      <c r="D45" s="364" t="s">
        <v>474</v>
      </c>
      <c r="E45" s="349"/>
      <c r="F45" s="355"/>
      <c r="H45" s="355"/>
      <c r="I45" s="392"/>
      <c r="J45" s="392"/>
      <c r="K45" s="392"/>
      <c r="L45" s="1441">
        <v>1042127</v>
      </c>
      <c r="M45" s="365"/>
      <c r="N45" s="345"/>
    </row>
    <row r="46" spans="2:14">
      <c r="B46" s="354">
        <f>+B45+1</f>
        <v>17</v>
      </c>
      <c r="C46" s="355"/>
      <c r="D46" s="364" t="s">
        <v>475</v>
      </c>
      <c r="E46" s="349"/>
      <c r="F46" s="355"/>
      <c r="H46" s="355"/>
      <c r="I46" s="392"/>
      <c r="J46" s="392"/>
      <c r="K46" s="392"/>
      <c r="L46" s="1441">
        <v>312761</v>
      </c>
      <c r="M46" s="365"/>
      <c r="N46" s="345"/>
    </row>
    <row r="47" spans="2:14">
      <c r="B47" s="354"/>
      <c r="C47" s="355"/>
      <c r="E47" s="349"/>
      <c r="F47" s="355"/>
      <c r="H47" s="355"/>
      <c r="I47" s="392"/>
      <c r="J47" s="392"/>
      <c r="K47" s="392"/>
      <c r="L47" s="355"/>
      <c r="M47" s="365"/>
      <c r="N47" s="345"/>
    </row>
    <row r="48" spans="2:14" ht="15.75" thickBot="1">
      <c r="B48" s="354">
        <f>+B46+1</f>
        <v>18</v>
      </c>
      <c r="C48" s="355"/>
      <c r="D48" s="364" t="s">
        <v>435</v>
      </c>
      <c r="E48" s="367" t="str">
        <f>"(Line "&amp;B44&amp;" - Line "&amp;B45&amp;" - Line "&amp;B46&amp;")"</f>
        <v>(Line 15 - Line 16 - Line 17)</v>
      </c>
      <c r="F48" s="355"/>
      <c r="H48" s="355"/>
      <c r="I48" s="392"/>
      <c r="J48" s="392"/>
      <c r="K48" s="392"/>
      <c r="L48" s="401">
        <f>+L44-L45-L46</f>
        <v>425897.34000000008</v>
      </c>
      <c r="M48" s="365"/>
      <c r="N48" s="345"/>
    </row>
    <row r="49" spans="2:16" ht="15.75"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KENTUCKY POWER COMPANY</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123</v>
      </c>
      <c r="E60" s="355" t="s">
        <v>124</v>
      </c>
      <c r="F60" s="355"/>
      <c r="G60" s="355" t="s">
        <v>125</v>
      </c>
      <c r="H60" s="352" t="s">
        <v>116</v>
      </c>
      <c r="I60" s="1490" t="s">
        <v>126</v>
      </c>
      <c r="J60" s="1491"/>
      <c r="K60" s="352"/>
      <c r="L60" s="356" t="s">
        <v>127</v>
      </c>
      <c r="M60" s="370"/>
      <c r="N60" s="345"/>
    </row>
    <row r="61" spans="2:16">
      <c r="B61" s="340"/>
      <c r="D61" s="395"/>
      <c r="E61" s="395"/>
      <c r="F61" s="395"/>
      <c r="G61" s="400"/>
      <c r="H61" s="352"/>
      <c r="I61" s="352"/>
      <c r="J61" s="407"/>
      <c r="K61" s="352"/>
      <c r="M61" s="370"/>
      <c r="N61" s="345"/>
    </row>
    <row r="62" spans="2:16" ht="15.75">
      <c r="B62" s="408"/>
      <c r="C62" s="355"/>
      <c r="D62" s="395"/>
      <c r="E62" s="409" t="s">
        <v>96</v>
      </c>
      <c r="F62" s="410"/>
      <c r="G62" s="352"/>
      <c r="H62" s="352"/>
      <c r="I62" s="352"/>
      <c r="J62" s="355"/>
      <c r="K62" s="352"/>
      <c r="L62" s="411" t="s">
        <v>120</v>
      </c>
      <c r="M62" s="370"/>
      <c r="N62" s="345"/>
      <c r="P62" s="403"/>
    </row>
    <row r="63" spans="2:16" ht="15.75">
      <c r="B63" s="340"/>
      <c r="C63" s="362"/>
      <c r="D63" s="412" t="s">
        <v>95</v>
      </c>
      <c r="E63" s="413" t="s">
        <v>114</v>
      </c>
      <c r="F63" s="352"/>
      <c r="G63" s="412" t="s">
        <v>82</v>
      </c>
      <c r="H63" s="414"/>
      <c r="I63" s="1492" t="s">
        <v>121</v>
      </c>
      <c r="J63" s="1493"/>
      <c r="K63" s="414"/>
      <c r="L63" s="412" t="s">
        <v>117</v>
      </c>
      <c r="M63" s="370"/>
      <c r="N63" s="345"/>
    </row>
    <row r="64" spans="2:16">
      <c r="B64" s="1152" t="str">
        <f>B11</f>
        <v>Line</v>
      </c>
      <c r="C64" s="380"/>
      <c r="D64" s="391"/>
      <c r="E64" s="370"/>
      <c r="F64" s="370"/>
      <c r="G64" s="1153" t="s">
        <v>356</v>
      </c>
      <c r="H64" s="370"/>
      <c r="I64" s="370"/>
      <c r="J64" s="370"/>
      <c r="K64" s="370"/>
      <c r="L64" s="370"/>
      <c r="M64" s="370"/>
      <c r="N64" s="345"/>
    </row>
    <row r="65" spans="2:15" ht="15.75" thickBot="1">
      <c r="B65" s="1154" t="str">
        <f>B12</f>
        <v>No.</v>
      </c>
      <c r="C65" s="380"/>
      <c r="D65" s="391" t="s">
        <v>83</v>
      </c>
      <c r="E65" s="415"/>
      <c r="F65" s="415"/>
      <c r="G65" s="370"/>
      <c r="H65" s="370"/>
      <c r="I65" s="374"/>
      <c r="J65" s="370"/>
      <c r="K65" s="370"/>
      <c r="L65" s="370"/>
      <c r="M65" s="370"/>
      <c r="N65" s="345"/>
    </row>
    <row r="66" spans="2:15">
      <c r="B66" s="379">
        <f>+B48+1</f>
        <v>19</v>
      </c>
      <c r="C66" s="380"/>
      <c r="D66" s="423" t="s">
        <v>128</v>
      </c>
      <c r="E66" s="370" t="str">
        <f>"(Worksheet A ln "&amp;'WS A - RB Support'!A23&amp;"."&amp;'WS A - RB Support'!C8&amp;")"</f>
        <v>(Worksheet A ln 14.(b))</v>
      </c>
      <c r="F66" s="370"/>
      <c r="G66" s="388">
        <f>'WS A - RB Support'!C23</f>
        <v>1224944795.7215385</v>
      </c>
      <c r="H66" s="388"/>
      <c r="I66" s="374" t="s">
        <v>129</v>
      </c>
      <c r="J66" s="375">
        <v>0</v>
      </c>
      <c r="K66" s="370"/>
      <c r="L66" s="417">
        <f>+J66*G66</f>
        <v>0</v>
      </c>
      <c r="M66" s="370"/>
      <c r="N66" s="345"/>
    </row>
    <row r="67" spans="2:15">
      <c r="B67" s="379">
        <f>+B66+1</f>
        <v>20</v>
      </c>
      <c r="C67" s="380"/>
      <c r="D67" s="423" t="s">
        <v>379</v>
      </c>
      <c r="E67" s="370" t="str">
        <f>"(Worksheet A ln "&amp;'WS A - RB Support'!A23&amp;"."&amp;'WS A - RB Support'!D8&amp;")"</f>
        <v>(Worksheet A ln 14.(c))</v>
      </c>
      <c r="F67" s="370"/>
      <c r="G67" s="417">
        <f>-'WS A - RB Support'!D23</f>
        <v>-13074437.350769231</v>
      </c>
      <c r="H67" s="388"/>
      <c r="I67" s="374" t="s">
        <v>129</v>
      </c>
      <c r="J67" s="375">
        <v>0</v>
      </c>
      <c r="K67" s="370"/>
      <c r="L67" s="417">
        <f>+J67*G67</f>
        <v>0</v>
      </c>
      <c r="M67" s="370"/>
      <c r="N67" s="345"/>
    </row>
    <row r="68" spans="2:15">
      <c r="B68" s="379">
        <f t="shared" ref="B68:B74" si="0">+B67+1</f>
        <v>21</v>
      </c>
      <c r="C68" s="432"/>
      <c r="D68" s="1155" t="s">
        <v>130</v>
      </c>
      <c r="E68" s="370" t="str">
        <f>"(Worksheet A ln "&amp;'WS A - RB Support'!A23&amp;"."&amp;'WS A - RB Support'!E8&amp;" &amp; TCOS Ln "&amp;B229&amp;")"</f>
        <v>(Worksheet A ln 14.(d) &amp; TCOS Ln 134)</v>
      </c>
      <c r="F68" s="419"/>
      <c r="G68" s="388">
        <f>'WS A - RB Support'!E23</f>
        <v>665626519.96384621</v>
      </c>
      <c r="H68" s="388"/>
      <c r="I68" s="420" t="s">
        <v>131</v>
      </c>
      <c r="J68" s="375" t="s">
        <v>116</v>
      </c>
      <c r="K68" s="421"/>
      <c r="L68" s="417">
        <f>+L229</f>
        <v>653424683.64230776</v>
      </c>
      <c r="M68" s="421"/>
      <c r="N68" s="345"/>
    </row>
    <row r="69" spans="2:15">
      <c r="B69" s="379">
        <f t="shared" si="0"/>
        <v>22</v>
      </c>
      <c r="C69" s="432"/>
      <c r="D69" s="423" t="s">
        <v>380</v>
      </c>
      <c r="E69" s="370" t="str">
        <f>"(Worksheet A ln "&amp;'WS A - RB Support'!A23&amp;"."&amp;'WS A - RB Support'!F8&amp;")"</f>
        <v>(Worksheet A ln 14.(e))</v>
      </c>
      <c r="F69" s="419"/>
      <c r="G69" s="388">
        <f>-'WS A - RB Support'!F23</f>
        <v>0</v>
      </c>
      <c r="H69" s="388"/>
      <c r="I69" s="420" t="s">
        <v>122</v>
      </c>
      <c r="J69" s="375">
        <f>L231</f>
        <v>0.98166864456932812</v>
      </c>
      <c r="K69" s="421"/>
      <c r="L69" s="417">
        <f>+G69*J69</f>
        <v>0</v>
      </c>
      <c r="M69" s="421"/>
      <c r="N69" s="345"/>
    </row>
    <row r="70" spans="2:15">
      <c r="B70" s="379">
        <f>+B69+1</f>
        <v>23</v>
      </c>
      <c r="C70" s="432"/>
      <c r="D70" s="391" t="s">
        <v>132</v>
      </c>
      <c r="E70" s="370" t="str">
        <f>"(Worksheet A ln "&amp;'WS A - RB Support'!A23&amp;"."&amp;'WS A - RB Support'!G8&amp;")"</f>
        <v>(Worksheet A ln 14.(f))</v>
      </c>
      <c r="F70" s="370"/>
      <c r="G70" s="388">
        <f>'WS A - RB Support'!G23</f>
        <v>930347500.11538458</v>
      </c>
      <c r="H70" s="388"/>
      <c r="I70" s="374" t="s">
        <v>129</v>
      </c>
      <c r="J70" s="375">
        <v>0</v>
      </c>
      <c r="K70" s="370"/>
      <c r="L70" s="417">
        <f>+J70*G70</f>
        <v>0</v>
      </c>
      <c r="M70" s="370"/>
      <c r="N70" s="345"/>
    </row>
    <row r="71" spans="2:15">
      <c r="B71" s="379">
        <f t="shared" si="0"/>
        <v>24</v>
      </c>
      <c r="C71" s="432"/>
      <c r="D71" s="423" t="s">
        <v>377</v>
      </c>
      <c r="E71" s="370" t="str">
        <f>"(Worksheet A ln "&amp;'WS A - RB Support'!A23&amp;"."&amp;'WS A - RB Support'!H8&amp;")"</f>
        <v>(Worksheet A ln 14.(g))</v>
      </c>
      <c r="F71" s="370"/>
      <c r="G71" s="417">
        <f>-'WS A - RB Support'!H23</f>
        <v>0</v>
      </c>
      <c r="H71" s="388"/>
      <c r="I71" s="374" t="s">
        <v>129</v>
      </c>
      <c r="J71" s="375">
        <v>0</v>
      </c>
      <c r="K71" s="370"/>
      <c r="L71" s="417">
        <f>+G71*J71</f>
        <v>0</v>
      </c>
      <c r="M71" s="370"/>
      <c r="N71" s="345"/>
    </row>
    <row r="72" spans="2:15">
      <c r="B72" s="379">
        <f t="shared" si="0"/>
        <v>25</v>
      </c>
      <c r="C72" s="432"/>
      <c r="D72" s="391" t="s">
        <v>133</v>
      </c>
      <c r="E72" s="370" t="str">
        <f>"(Worksheet A ln "&amp;'WS A - RB Support'!A23&amp;"."&amp;'WS A - RB Support'!I8&amp;")"</f>
        <v>(Worksheet A ln 14.(h))</v>
      </c>
      <c r="F72" s="370"/>
      <c r="G72" s="388">
        <f>'WS A - RB Support'!I23</f>
        <v>55971121.043076925</v>
      </c>
      <c r="H72" s="388"/>
      <c r="I72" s="374" t="s">
        <v>134</v>
      </c>
      <c r="J72" s="375">
        <f>L241</f>
        <v>8.698323061964805E-2</v>
      </c>
      <c r="K72" s="370"/>
      <c r="L72" s="417">
        <f>+J72*G72</f>
        <v>4868548.9297301965</v>
      </c>
      <c r="M72" s="370"/>
      <c r="N72" s="345"/>
    </row>
    <row r="73" spans="2:15">
      <c r="B73" s="379">
        <f t="shared" si="0"/>
        <v>26</v>
      </c>
      <c r="C73" s="432"/>
      <c r="D73" s="423" t="s">
        <v>378</v>
      </c>
      <c r="E73" s="370" t="str">
        <f>"(Worksheet A ln "&amp;'WS A - RB Support'!A23&amp;"."&amp;'WS A - RB Support'!J8&amp;")"</f>
        <v>(Worksheet A ln 14.(i))</v>
      </c>
      <c r="F73" s="370"/>
      <c r="G73" s="417">
        <f>-'WS A - RB Support'!J23</f>
        <v>-122927.76999999996</v>
      </c>
      <c r="H73" s="388"/>
      <c r="I73" s="374" t="s">
        <v>134</v>
      </c>
      <c r="J73" s="375">
        <f>L241</f>
        <v>8.698323061964805E-2</v>
      </c>
      <c r="K73" s="370"/>
      <c r="L73" s="417">
        <f>+G73*J73</f>
        <v>-10692.65456746905</v>
      </c>
      <c r="M73" s="370"/>
      <c r="N73" s="345"/>
    </row>
    <row r="74" spans="2:15" ht="15.75" thickBot="1">
      <c r="B74" s="379">
        <f t="shared" si="0"/>
        <v>27</v>
      </c>
      <c r="C74" s="432"/>
      <c r="D74" s="391" t="s">
        <v>135</v>
      </c>
      <c r="E74" s="370" t="str">
        <f>"(Worksheet A ln "&amp;'WS A - RB Support'!A23&amp;"."&amp;'WS A - RB Support'!K8&amp;")"</f>
        <v>(Worksheet A ln 14.(j))</v>
      </c>
      <c r="F74" s="370"/>
      <c r="G74" s="424">
        <f>'WS A - RB Support'!K23</f>
        <v>50625400.263846152</v>
      </c>
      <c r="H74" s="388"/>
      <c r="I74" s="374" t="s">
        <v>134</v>
      </c>
      <c r="J74" s="375">
        <f>L241</f>
        <v>8.698323061964805E-2</v>
      </c>
      <c r="K74" s="370"/>
      <c r="L74" s="518">
        <f>+J74*G74</f>
        <v>4403560.866362121</v>
      </c>
      <c r="M74" s="370"/>
      <c r="N74" s="391"/>
      <c r="O74" s="346"/>
    </row>
    <row r="75" spans="2:15" ht="15.75">
      <c r="B75" s="379">
        <f>+B74+1</f>
        <v>28</v>
      </c>
      <c r="C75" s="432"/>
      <c r="D75" s="391" t="s">
        <v>48</v>
      </c>
      <c r="E75" s="380" t="str">
        <f>"(sum lns "&amp;B66&amp;" to "&amp;B74&amp;")"</f>
        <v>(sum lns 19 to 27)</v>
      </c>
      <c r="F75" s="723"/>
      <c r="G75" s="388">
        <f>SUM(G66:G74)</f>
        <v>2914317971.9869227</v>
      </c>
      <c r="H75" s="388"/>
      <c r="I75" s="519" t="s">
        <v>760</v>
      </c>
      <c r="J75" s="426">
        <f>+L75/G75</f>
        <v>0.22738977254840406</v>
      </c>
      <c r="K75" s="370"/>
      <c r="L75" s="388">
        <f>SUM(L66:L74)</f>
        <v>662686100.78383255</v>
      </c>
      <c r="M75" s="370"/>
      <c r="N75" s="391"/>
      <c r="O75" s="346"/>
    </row>
    <row r="76" spans="2:15" ht="15.75">
      <c r="B76" s="379"/>
      <c r="C76" s="380"/>
      <c r="D76" s="391"/>
      <c r="E76" s="1157"/>
      <c r="F76" s="723"/>
      <c r="G76" s="388"/>
      <c r="H76" s="388"/>
      <c r="I76" s="1150" t="s">
        <v>218</v>
      </c>
      <c r="J76" s="427">
        <f>+L68/(G70+G68+G71)</f>
        <v>0.40942062679057212</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510713532.52000004</v>
      </c>
      <c r="H78" s="388"/>
      <c r="I78" s="374" t="s">
        <v>129</v>
      </c>
      <c r="J78" s="375">
        <v>0</v>
      </c>
      <c r="K78" s="370"/>
      <c r="L78" s="417">
        <f>+J78*G78</f>
        <v>0</v>
      </c>
      <c r="M78" s="370"/>
      <c r="N78" s="370"/>
      <c r="O78" s="352"/>
    </row>
    <row r="79" spans="2:15">
      <c r="B79" s="379">
        <f t="shared" ref="B79:B87" si="1">+B78+1</f>
        <v>31</v>
      </c>
      <c r="C79" s="380"/>
      <c r="D79" s="423" t="s">
        <v>379</v>
      </c>
      <c r="E79" s="370" t="str">
        <f>"(Worksheet A ln "&amp;'WS A - RB Support'!A42&amp;"."&amp;'WS A - RB Support'!D27&amp;")"</f>
        <v>(Worksheet A ln 28.(c))</v>
      </c>
      <c r="F79" s="370"/>
      <c r="G79" s="417">
        <f>-'WS A - RB Support'!D42</f>
        <v>-5398983.9938461538</v>
      </c>
      <c r="H79" s="388"/>
      <c r="I79" s="374" t="s">
        <v>129</v>
      </c>
      <c r="J79" s="375">
        <v>0</v>
      </c>
      <c r="K79" s="370"/>
      <c r="L79" s="417">
        <f>+J79*G79</f>
        <v>0</v>
      </c>
      <c r="M79" s="370"/>
      <c r="N79" s="370"/>
      <c r="O79" s="352"/>
    </row>
    <row r="80" spans="2:15" ht="15.75">
      <c r="B80" s="379">
        <f t="shared" si="1"/>
        <v>32</v>
      </c>
      <c r="C80" s="432"/>
      <c r="D80" s="1155" t="str">
        <f>D68</f>
        <v xml:space="preserve">  Transmission</v>
      </c>
      <c r="E80" s="370" t="str">
        <f>"(Worksheet A ln "&amp;'WS A - RB Support'!A42&amp;"."&amp;'WS A - RB Support'!E27&amp;" &amp; "&amp;"ln "&amp;'WS A - RB Support'!A64&amp;"."&amp;'WS A - RB Support'!D47&amp;")"</f>
        <v>(Worksheet A ln 28.(d) &amp; ln 43.(c))</v>
      </c>
      <c r="F80" s="419"/>
      <c r="G80" s="422">
        <f>'WS A - RB Support'!E42</f>
        <v>232121933.05769232</v>
      </c>
      <c r="H80" s="388"/>
      <c r="I80" s="1151" t="s">
        <v>27</v>
      </c>
      <c r="J80" s="431">
        <f>L80/G80</f>
        <v>0.97385258990306034</v>
      </c>
      <c r="K80" s="421"/>
      <c r="L80" s="417">
        <f>'WS A - RB Support'!D64</f>
        <v>226052545.68153846</v>
      </c>
      <c r="M80" s="421"/>
      <c r="N80" s="370"/>
      <c r="O80" s="352"/>
    </row>
    <row r="81" spans="2:15" ht="15.75">
      <c r="B81" s="379">
        <f t="shared" si="1"/>
        <v>33</v>
      </c>
      <c r="C81" s="432"/>
      <c r="D81" s="423" t="s">
        <v>380</v>
      </c>
      <c r="E81" s="370" t="str">
        <f>"(Worksheet A ln "&amp;'WS A - RB Support'!A42&amp;"."&amp;'WS A - RB Support'!F27&amp;")"</f>
        <v>(Worksheet A ln 28.(e))</v>
      </c>
      <c r="F81" s="419"/>
      <c r="G81" s="417">
        <f>-'WS A - RB Support'!F42</f>
        <v>0</v>
      </c>
      <c r="H81" s="388"/>
      <c r="I81" s="1151" t="s">
        <v>27</v>
      </c>
      <c r="J81" s="375">
        <f>+J80</f>
        <v>0.97385258990306034</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276222812.51692307</v>
      </c>
      <c r="H82" s="388"/>
      <c r="I82" s="374" t="s">
        <v>129</v>
      </c>
      <c r="J82" s="375">
        <v>0</v>
      </c>
      <c r="K82" s="370"/>
      <c r="L82" s="417">
        <f t="shared" si="2"/>
        <v>0</v>
      </c>
      <c r="M82" s="370"/>
      <c r="N82" s="370"/>
      <c r="O82" s="352"/>
    </row>
    <row r="83" spans="2:15">
      <c r="B83" s="379">
        <f t="shared" si="1"/>
        <v>35</v>
      </c>
      <c r="C83" s="432"/>
      <c r="D83" s="423" t="s">
        <v>377</v>
      </c>
      <c r="E83" s="370" t="str">
        <f>"(Worksheet A ln "&amp;'WS A - RB Support'!A42&amp;"."&amp;'WS A - RB Support'!H27&amp;")"</f>
        <v>(Worksheet A ln 28.(g))</v>
      </c>
      <c r="F83" s="370"/>
      <c r="G83" s="417">
        <f>-'WS A - RB Support'!H42</f>
        <v>0</v>
      </c>
      <c r="H83" s="388"/>
      <c r="I83" s="374" t="s">
        <v>129</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19152764.063846152</v>
      </c>
      <c r="H84" s="388"/>
      <c r="I84" s="374" t="s">
        <v>134</v>
      </c>
      <c r="J84" s="375">
        <f>L241</f>
        <v>8.698323061964805E-2</v>
      </c>
      <c r="K84" s="370"/>
      <c r="L84" s="417">
        <f t="shared" si="2"/>
        <v>1665969.2935692375</v>
      </c>
      <c r="M84" s="370"/>
      <c r="N84" s="370"/>
      <c r="O84" s="352"/>
    </row>
    <row r="85" spans="2:15">
      <c r="B85" s="379">
        <f t="shared" si="1"/>
        <v>37</v>
      </c>
      <c r="C85" s="432"/>
      <c r="D85" s="423" t="s">
        <v>378</v>
      </c>
      <c r="E85" s="370" t="str">
        <f>"(Worksheet A ln "&amp;'WS A - RB Support'!A42&amp;"."&amp;'WS A - RB Support'!J27&amp;")"</f>
        <v>(Worksheet A ln 28.(i))</v>
      </c>
      <c r="F85" s="370"/>
      <c r="G85" s="417">
        <f>-'WS A - RB Support'!J42</f>
        <v>-54490.355384615374</v>
      </c>
      <c r="H85" s="388"/>
      <c r="I85" s="374" t="s">
        <v>134</v>
      </c>
      <c r="J85" s="375">
        <f>L241</f>
        <v>8.698323061964805E-2</v>
      </c>
      <c r="K85" s="370"/>
      <c r="L85" s="417">
        <f t="shared" si="2"/>
        <v>-4739.7471489665795</v>
      </c>
      <c r="M85" s="370"/>
      <c r="N85" s="370"/>
      <c r="O85" s="352"/>
    </row>
    <row r="86" spans="2:15" ht="15.75" thickBot="1">
      <c r="B86" s="379">
        <f t="shared" si="1"/>
        <v>38</v>
      </c>
      <c r="C86" s="432"/>
      <c r="D86" s="391" t="str">
        <f>+D74</f>
        <v xml:space="preserve">  Intangible Plant</v>
      </c>
      <c r="E86" s="370" t="str">
        <f>"(Worksheet A ln "&amp;'WS A - RB Support'!A42&amp;"."&amp;'WS A - RB Support'!K27&amp;")"</f>
        <v>(Worksheet A ln 28.(j))</v>
      </c>
      <c r="F86" s="370"/>
      <c r="G86" s="424">
        <f>'WS A - RB Support'!K42</f>
        <v>21158222.738461539</v>
      </c>
      <c r="H86" s="388"/>
      <c r="I86" s="374" t="s">
        <v>134</v>
      </c>
      <c r="J86" s="375">
        <f>L241</f>
        <v>8.698323061964805E-2</v>
      </c>
      <c r="K86" s="370"/>
      <c r="L86" s="518">
        <f t="shared" si="2"/>
        <v>1840410.5679614814</v>
      </c>
      <c r="M86" s="370"/>
      <c r="N86" s="370"/>
      <c r="O86" s="352"/>
    </row>
    <row r="87" spans="2:15">
      <c r="B87" s="379">
        <f t="shared" si="1"/>
        <v>39</v>
      </c>
      <c r="C87" s="432"/>
      <c r="D87" s="391" t="s">
        <v>47</v>
      </c>
      <c r="E87" s="1134" t="str">
        <f>"(sum lns "&amp;B78&amp;" to "&amp;B86&amp;")"</f>
        <v>(sum lns 30 to 38)</v>
      </c>
      <c r="F87" s="721"/>
      <c r="G87" s="388">
        <f>SUM(G78:G86)</f>
        <v>1053915790.5476923</v>
      </c>
      <c r="H87" s="388"/>
      <c r="I87" s="374"/>
      <c r="J87" s="370"/>
      <c r="K87" s="388"/>
      <c r="L87" s="388">
        <f>SUM(L78:L86)</f>
        <v>229554185.79592022</v>
      </c>
      <c r="M87" s="370"/>
      <c r="N87" s="370"/>
      <c r="O87" s="352"/>
    </row>
    <row r="88" spans="2:15">
      <c r="B88" s="379"/>
      <c r="C88" s="380"/>
      <c r="D88" s="345"/>
      <c r="E88" s="1158"/>
      <c r="F88" s="721"/>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706555809.84461546</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433504586.90615392</v>
      </c>
      <c r="H91" s="388"/>
      <c r="I91" s="374"/>
      <c r="J91" s="431"/>
      <c r="K91" s="370"/>
      <c r="L91" s="388">
        <f>+L68+L69-L80-L81</f>
        <v>427372137.9607693</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654124687.59846151</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36749919.564615384</v>
      </c>
      <c r="H93" s="388"/>
      <c r="I93" s="374"/>
      <c r="J93" s="433"/>
      <c r="K93" s="370"/>
      <c r="L93" s="388">
        <f>+L72+L73-L84-L85</f>
        <v>3196626.7287424565</v>
      </c>
      <c r="M93" s="370"/>
      <c r="N93" s="370"/>
      <c r="O93" s="352"/>
    </row>
    <row r="94" spans="2:15" ht="15.75" thickBot="1">
      <c r="B94" s="379">
        <f t="shared" si="3"/>
        <v>45</v>
      </c>
      <c r="C94" s="432"/>
      <c r="D94" s="423" t="str">
        <f>+D86</f>
        <v xml:space="preserve">  Intangible Plant</v>
      </c>
      <c r="E94" s="370" t="str">
        <f>" (ln "&amp;B74&amp;" - ln "&amp;B86&amp;")"</f>
        <v xml:space="preserve"> (ln 27 - ln 38)</v>
      </c>
      <c r="F94" s="370"/>
      <c r="G94" s="424">
        <f>+G74-G86</f>
        <v>29467177.525384612</v>
      </c>
      <c r="H94" s="388"/>
      <c r="I94" s="374"/>
      <c r="J94" s="433"/>
      <c r="K94" s="370"/>
      <c r="L94" s="424">
        <f>+L74-L86</f>
        <v>2563150.2984006396</v>
      </c>
      <c r="M94" s="370"/>
      <c r="N94" s="370"/>
      <c r="O94" s="352"/>
    </row>
    <row r="95" spans="2:15" ht="15.75">
      <c r="B95" s="379">
        <f t="shared" si="3"/>
        <v>46</v>
      </c>
      <c r="C95" s="432"/>
      <c r="D95" s="423" t="s">
        <v>46</v>
      </c>
      <c r="E95" s="423" t="str">
        <f>"(sum lns "&amp;B90&amp;" to "&amp;B94&amp;")"</f>
        <v>(sum lns 41 to 45)</v>
      </c>
      <c r="F95" s="370"/>
      <c r="G95" s="388">
        <f>SUM(G90:G94)</f>
        <v>1860402181.4392309</v>
      </c>
      <c r="H95" s="388"/>
      <c r="I95" s="519" t="s">
        <v>761</v>
      </c>
      <c r="J95" s="426">
        <f>+L95/G95</f>
        <v>0.23281627989321965</v>
      </c>
      <c r="K95" s="370"/>
      <c r="L95" s="388">
        <f>SUM(L90:L94)</f>
        <v>433131914.98791242</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4"/>
      <c r="H97" s="604"/>
      <c r="I97" s="1157"/>
      <c r="J97" s="604"/>
      <c r="K97" s="604"/>
      <c r="L97" s="604"/>
      <c r="M97" s="439"/>
      <c r="N97" s="370"/>
      <c r="O97" s="352"/>
    </row>
    <row r="98" spans="2:15">
      <c r="B98" s="379">
        <f>+B95+1</f>
        <v>47</v>
      </c>
      <c r="C98" s="380"/>
      <c r="D98" s="391" t="s">
        <v>328</v>
      </c>
      <c r="E98" s="370" t="s">
        <v>305</v>
      </c>
      <c r="F98" s="374"/>
      <c r="G98" s="604"/>
      <c r="H98" s="604"/>
      <c r="I98" s="1157"/>
      <c r="J98" s="604"/>
      <c r="K98" s="604"/>
      <c r="L98" s="604"/>
      <c r="M98" s="439"/>
      <c r="N98" s="370"/>
      <c r="O98" s="352"/>
    </row>
    <row r="99" spans="2:15">
      <c r="B99" s="379">
        <f t="shared" ref="B99:B104" si="4">+B98+1</f>
        <v>48</v>
      </c>
      <c r="C99" s="432"/>
      <c r="D99" s="423" t="s">
        <v>195</v>
      </c>
      <c r="E99" s="370" t="s">
        <v>538</v>
      </c>
      <c r="F99" s="370"/>
      <c r="G99" s="388">
        <f>-'WS B ADIT &amp; ITC'!I17</f>
        <v>-49603321.814999998</v>
      </c>
      <c r="H99" s="388"/>
      <c r="I99" s="374" t="s">
        <v>129</v>
      </c>
      <c r="J99" s="375"/>
      <c r="K99" s="370"/>
      <c r="L99" s="388">
        <f>'WS B ADIT &amp; ITC'!I20</f>
        <v>0</v>
      </c>
      <c r="M99" s="370"/>
      <c r="N99" s="370"/>
      <c r="O99" s="352"/>
    </row>
    <row r="100" spans="2:15">
      <c r="B100" s="379">
        <f t="shared" si="4"/>
        <v>49</v>
      </c>
      <c r="C100" s="432"/>
      <c r="D100" s="423" t="s">
        <v>196</v>
      </c>
      <c r="E100" s="370" t="s">
        <v>539</v>
      </c>
      <c r="F100" s="370"/>
      <c r="G100" s="388">
        <f>-'WS B ADIT &amp; ITC'!I25</f>
        <v>-372638306.03999996</v>
      </c>
      <c r="H100" s="388"/>
      <c r="I100" s="374" t="s">
        <v>131</v>
      </c>
      <c r="J100" s="375"/>
      <c r="K100" s="370"/>
      <c r="L100" s="388">
        <f>-'WS B ADIT &amp; ITC'!I28</f>
        <v>-89302865.48999995</v>
      </c>
      <c r="M100" s="370"/>
      <c r="N100" s="370"/>
      <c r="O100" s="352"/>
    </row>
    <row r="101" spans="2:15">
      <c r="B101" s="379">
        <f t="shared" si="4"/>
        <v>50</v>
      </c>
      <c r="C101" s="432"/>
      <c r="D101" s="423" t="s">
        <v>197</v>
      </c>
      <c r="E101" s="370" t="s">
        <v>540</v>
      </c>
      <c r="F101" s="370"/>
      <c r="G101" s="388">
        <f>-'WS B ADIT &amp; ITC'!I33</f>
        <v>-125167127.17999999</v>
      </c>
      <c r="H101" s="388"/>
      <c r="I101" s="374" t="s">
        <v>131</v>
      </c>
      <c r="J101" s="375"/>
      <c r="K101" s="370"/>
      <c r="L101" s="388">
        <f>-'WS B ADIT &amp; ITC'!I36</f>
        <v>-544718.64999999106</v>
      </c>
      <c r="M101" s="370"/>
      <c r="N101" s="370"/>
      <c r="O101" s="352"/>
    </row>
    <row r="102" spans="2:15">
      <c r="B102" s="379">
        <f t="shared" si="4"/>
        <v>51</v>
      </c>
      <c r="C102" s="432"/>
      <c r="D102" s="423" t="s">
        <v>198</v>
      </c>
      <c r="E102" s="370" t="s">
        <v>541</v>
      </c>
      <c r="F102" s="370"/>
      <c r="G102" s="388">
        <f>'WS B ADIT &amp; ITC'!I41</f>
        <v>15067641.665000003</v>
      </c>
      <c r="H102" s="388"/>
      <c r="I102" s="374" t="s">
        <v>131</v>
      </c>
      <c r="J102" s="375"/>
      <c r="K102" s="370"/>
      <c r="L102" s="388">
        <f>'WS B ADIT &amp; ITC'!I44</f>
        <v>2412325.2300000023</v>
      </c>
      <c r="M102" s="370"/>
      <c r="N102" s="370"/>
      <c r="O102" s="352"/>
    </row>
    <row r="103" spans="2:15" ht="15.75" thickBot="1">
      <c r="B103" s="379">
        <f t="shared" si="4"/>
        <v>52</v>
      </c>
      <c r="C103" s="432"/>
      <c r="D103" s="504" t="s">
        <v>136</v>
      </c>
      <c r="E103" s="370" t="s">
        <v>542</v>
      </c>
      <c r="F103" s="345"/>
      <c r="G103" s="424">
        <f>-'WS B ADIT &amp; ITC'!I51</f>
        <v>0</v>
      </c>
      <c r="H103" s="388"/>
      <c r="I103" s="374" t="s">
        <v>131</v>
      </c>
      <c r="J103" s="375"/>
      <c r="K103" s="370"/>
      <c r="L103" s="424">
        <f>-'WS B ADIT &amp; ITC'!I52</f>
        <v>0</v>
      </c>
      <c r="M103" s="440"/>
      <c r="N103" s="370"/>
      <c r="O103" s="352"/>
    </row>
    <row r="104" spans="2:15">
      <c r="B104" s="379">
        <f t="shared" si="4"/>
        <v>53</v>
      </c>
      <c r="C104" s="432"/>
      <c r="D104" s="423" t="s">
        <v>93</v>
      </c>
      <c r="E104" s="423" t="str">
        <f>"(sum lns "&amp;B99&amp;" to "&amp;B103&amp;")"</f>
        <v>(sum lns 48 to 52)</v>
      </c>
      <c r="F104" s="370"/>
      <c r="G104" s="388">
        <f>SUM(G99:G103)</f>
        <v>-532341113.36999995</v>
      </c>
      <c r="H104" s="604"/>
      <c r="I104" s="374"/>
      <c r="J104" s="442"/>
      <c r="K104" s="370"/>
      <c r="L104" s="388">
        <f>SUM(L99:L103)</f>
        <v>-87435258.909999937</v>
      </c>
      <c r="M104" s="370"/>
      <c r="N104" s="443"/>
    </row>
    <row r="105" spans="2:15">
      <c r="B105" s="379"/>
      <c r="C105" s="380"/>
      <c r="D105" s="423"/>
      <c r="E105" s="370"/>
      <c r="F105" s="370"/>
      <c r="G105" s="388"/>
      <c r="H105" s="604"/>
      <c r="I105" s="374"/>
      <c r="J105" s="433"/>
      <c r="K105" s="370"/>
      <c r="L105" s="388"/>
      <c r="M105" s="370"/>
      <c r="N105" s="345"/>
    </row>
    <row r="106" spans="2:15">
      <c r="B106" s="379">
        <f>+B104+1</f>
        <v>54</v>
      </c>
      <c r="C106" s="380"/>
      <c r="D106" s="423" t="s">
        <v>207</v>
      </c>
      <c r="E106" s="370" t="str">
        <f>"(Worksheet A ln "&amp;'WS A - RB Support'!A69&amp;"."&amp;'WS A - RB Support'!F68&amp;" &amp; "&amp;"ln "&amp;'WS A - RB Support'!A71&amp;"."&amp;'WS A - RB Support'!F68&amp;")"</f>
        <v>(Worksheet A ln 44.(e) &amp; ln 45.(e))</v>
      </c>
      <c r="F106" s="370"/>
      <c r="G106" s="388">
        <f>'WS A - RB Support'!F69</f>
        <v>556145</v>
      </c>
      <c r="H106" s="604"/>
      <c r="I106" s="374" t="s">
        <v>131</v>
      </c>
      <c r="J106" s="375"/>
      <c r="K106" s="370"/>
      <c r="L106" s="388">
        <f>'WS A - RB Support'!F71</f>
        <v>0</v>
      </c>
      <c r="M106" s="370"/>
      <c r="N106" s="345"/>
    </row>
    <row r="107" spans="2:15">
      <c r="B107" s="379"/>
      <c r="C107" s="380"/>
      <c r="D107" s="423"/>
      <c r="E107" s="370"/>
      <c r="F107" s="370"/>
      <c r="G107" s="388"/>
      <c r="H107" s="604"/>
      <c r="I107" s="374"/>
      <c r="J107" s="375"/>
      <c r="K107" s="370"/>
      <c r="L107" s="388"/>
      <c r="M107" s="370"/>
      <c r="N107" s="345"/>
    </row>
    <row r="108" spans="2:15">
      <c r="B108" s="379">
        <f>+B106+1</f>
        <v>55</v>
      </c>
      <c r="C108" s="380"/>
      <c r="D108" s="423" t="s">
        <v>329</v>
      </c>
      <c r="E108" s="370" t="str">
        <f>"(Worksheet A ln "&amp;'WS A - RB Support'!A80&amp;"."&amp;'WS A - RB Support'!F68&amp;")"</f>
        <v>(Worksheet A ln 51.(e))</v>
      </c>
      <c r="F108" s="370"/>
      <c r="G108" s="388">
        <f>'WS A - RB Support'!F80</f>
        <v>0</v>
      </c>
      <c r="H108" s="604"/>
      <c r="I108" s="374" t="s">
        <v>131</v>
      </c>
      <c r="J108" s="370"/>
      <c r="K108" s="370"/>
      <c r="L108" s="388">
        <f>+G108</f>
        <v>0</v>
      </c>
      <c r="M108" s="370"/>
      <c r="N108" s="345"/>
    </row>
    <row r="109" spans="2:15">
      <c r="B109" s="379"/>
      <c r="C109" s="380"/>
      <c r="D109" s="423"/>
      <c r="E109" s="370"/>
      <c r="F109" s="370"/>
      <c r="G109" s="388"/>
      <c r="H109" s="604"/>
      <c r="I109" s="374"/>
      <c r="J109" s="370"/>
      <c r="K109" s="370"/>
      <c r="L109" s="388"/>
      <c r="M109" s="370"/>
      <c r="N109" s="345"/>
    </row>
    <row r="110" spans="2:15" ht="14.25" customHeight="1">
      <c r="B110" s="379">
        <f>+B108+1</f>
        <v>56</v>
      </c>
      <c r="C110" s="432"/>
      <c r="D110" s="499" t="s">
        <v>749</v>
      </c>
      <c r="E110" s="370" t="str">
        <f>"(Worksheet A ln "&amp;'WS A - RB Support'!A88&amp;"."&amp;'WS A - RB Support'!F68&amp;")"</f>
        <v>(Worksheet A ln 54.(e))</v>
      </c>
      <c r="F110" s="370"/>
      <c r="G110" s="373">
        <f>-'WS A - RB Support'!F88</f>
        <v>-2482686.4950000001</v>
      </c>
      <c r="H110" s="388"/>
      <c r="I110" s="374" t="s">
        <v>134</v>
      </c>
      <c r="J110" s="375">
        <f>L241</f>
        <v>8.698323061964805E-2</v>
      </c>
      <c r="K110" s="370"/>
      <c r="L110" s="373">
        <f>G110*J110</f>
        <v>-215952.0919508707</v>
      </c>
      <c r="M110" s="370"/>
      <c r="N110" s="345"/>
    </row>
    <row r="111" spans="2:15">
      <c r="B111" s="379"/>
      <c r="C111" s="380"/>
      <c r="D111" s="423"/>
      <c r="E111" s="370"/>
      <c r="F111" s="370"/>
      <c r="G111" s="388"/>
      <c r="H111" s="604"/>
      <c r="I111" s="374"/>
      <c r="J111" s="370"/>
      <c r="K111" s="370"/>
      <c r="L111" s="388"/>
      <c r="M111" s="370"/>
      <c r="N111" s="345"/>
    </row>
    <row r="112" spans="2:15">
      <c r="B112" s="379">
        <f>+B110+1</f>
        <v>57</v>
      </c>
      <c r="C112" s="380"/>
      <c r="D112" s="423" t="s">
        <v>94</v>
      </c>
      <c r="E112" s="370" t="s">
        <v>500</v>
      </c>
      <c r="F112" s="370"/>
      <c r="G112" s="388"/>
      <c r="H112" s="604"/>
      <c r="I112" s="374"/>
      <c r="J112" s="370"/>
      <c r="K112" s="370"/>
      <c r="L112" s="388"/>
      <c r="M112" s="370"/>
      <c r="N112" s="345"/>
    </row>
    <row r="113" spans="2:14">
      <c r="B113" s="379">
        <f t="shared" ref="B113:B120" si="5">+B112+1</f>
        <v>58</v>
      </c>
      <c r="C113" s="432"/>
      <c r="D113" s="423" t="s">
        <v>206</v>
      </c>
      <c r="E113" s="345" t="str">
        <f>"(1/8 * ln "&amp;B149&amp;")"</f>
        <v>(1/8 * ln 78)</v>
      </c>
      <c r="F113" s="345"/>
      <c r="G113" s="388">
        <f>+G149/8</f>
        <v>1226370.7274999996</v>
      </c>
      <c r="H113" s="370"/>
      <c r="I113" s="374"/>
      <c r="J113" s="433"/>
      <c r="K113" s="370"/>
      <c r="L113" s="388">
        <f>+L149/8</f>
        <v>1203889.6898044255</v>
      </c>
      <c r="M113" s="365"/>
      <c r="N113" s="345"/>
    </row>
    <row r="114" spans="2:14">
      <c r="B114" s="379">
        <f t="shared" si="5"/>
        <v>59</v>
      </c>
      <c r="C114" s="432"/>
      <c r="D114" s="423" t="s">
        <v>337</v>
      </c>
      <c r="E114" s="370" t="s">
        <v>543</v>
      </c>
      <c r="F114" s="370"/>
      <c r="G114" s="388">
        <f>'WS C  - Working Capital'!I17</f>
        <v>10869.5</v>
      </c>
      <c r="H114" s="604"/>
      <c r="I114" s="374" t="s">
        <v>122</v>
      </c>
      <c r="J114" s="375">
        <f>L231</f>
        <v>0.98166864456932812</v>
      </c>
      <c r="K114" s="370"/>
      <c r="L114" s="388">
        <f>+J114*G114</f>
        <v>10670.247332146311</v>
      </c>
      <c r="M114" s="370"/>
      <c r="N114" s="345"/>
    </row>
    <row r="115" spans="2:14">
      <c r="B115" s="379">
        <f t="shared" si="5"/>
        <v>60</v>
      </c>
      <c r="C115" s="432"/>
      <c r="D115" s="423" t="s">
        <v>338</v>
      </c>
      <c r="E115" s="370" t="s">
        <v>544</v>
      </c>
      <c r="F115" s="370"/>
      <c r="G115" s="388">
        <f>'WS C  - Working Capital'!I19</f>
        <v>33530.5</v>
      </c>
      <c r="H115" s="604"/>
      <c r="I115" s="374" t="s">
        <v>134</v>
      </c>
      <c r="J115" s="375">
        <f>L241</f>
        <v>8.698323061964805E-2</v>
      </c>
      <c r="K115" s="370"/>
      <c r="L115" s="388">
        <f>+J115*G115</f>
        <v>2916.5912142921088</v>
      </c>
      <c r="M115" s="370"/>
      <c r="N115" s="345"/>
    </row>
    <row r="116" spans="2:14">
      <c r="B116" s="379">
        <f t="shared" si="5"/>
        <v>61</v>
      </c>
      <c r="C116" s="432"/>
      <c r="D116" s="423" t="s">
        <v>531</v>
      </c>
      <c r="E116" s="370" t="s">
        <v>545</v>
      </c>
      <c r="F116" s="370"/>
      <c r="G116" s="388">
        <f>'WS C  - Working Capital'!I21</f>
        <v>0</v>
      </c>
      <c r="H116" s="604"/>
      <c r="I116" s="374" t="s">
        <v>760</v>
      </c>
      <c r="J116" s="375">
        <f>J75</f>
        <v>0.22738977254840406</v>
      </c>
      <c r="K116" s="370"/>
      <c r="L116" s="388">
        <f>+J116*G116</f>
        <v>0</v>
      </c>
      <c r="M116" s="370"/>
      <c r="N116" s="345"/>
    </row>
    <row r="117" spans="2:14">
      <c r="B117" s="379">
        <f t="shared" si="5"/>
        <v>62</v>
      </c>
      <c r="C117" s="432"/>
      <c r="D117" s="423" t="s">
        <v>210</v>
      </c>
      <c r="E117" s="370" t="s">
        <v>574</v>
      </c>
      <c r="F117" s="370"/>
      <c r="G117" s="388">
        <f>'WS C  - Working Capital'!J31</f>
        <v>66868732.625</v>
      </c>
      <c r="H117" s="604"/>
      <c r="I117" s="374" t="s">
        <v>134</v>
      </c>
      <c r="J117" s="375">
        <f>L241</f>
        <v>8.698323061964805E-2</v>
      </c>
      <c r="K117" s="370"/>
      <c r="L117" s="388">
        <f>+J117*G117</f>
        <v>5816458.3911639582</v>
      </c>
      <c r="M117" s="370"/>
      <c r="N117" s="345"/>
    </row>
    <row r="118" spans="2:14">
      <c r="B118" s="379">
        <f t="shared" si="5"/>
        <v>63</v>
      </c>
      <c r="C118" s="432"/>
      <c r="D118" s="423" t="s">
        <v>211</v>
      </c>
      <c r="E118" s="370" t="s">
        <v>573</v>
      </c>
      <c r="F118" s="370"/>
      <c r="G118" s="388">
        <f>'WS C  - Working Capital'!I31</f>
        <v>1012334.32</v>
      </c>
      <c r="H118" s="604"/>
      <c r="I118" s="374" t="s">
        <v>760</v>
      </c>
      <c r="J118" s="375">
        <f>J75</f>
        <v>0.22738977254840406</v>
      </c>
      <c r="K118" s="370"/>
      <c r="L118" s="388">
        <f>+G118*J118</f>
        <v>230194.47076774327</v>
      </c>
      <c r="M118" s="370"/>
      <c r="N118" s="345"/>
    </row>
    <row r="119" spans="2:14">
      <c r="B119" s="379">
        <f t="shared" si="5"/>
        <v>64</v>
      </c>
      <c r="C119" s="432"/>
      <c r="D119" s="423" t="s">
        <v>307</v>
      </c>
      <c r="E119" s="370" t="s">
        <v>575</v>
      </c>
      <c r="F119" s="370"/>
      <c r="G119" s="388">
        <f>'WS C  - Working Capital'!G31</f>
        <v>0</v>
      </c>
      <c r="H119" s="604"/>
      <c r="I119" s="374" t="s">
        <v>131</v>
      </c>
      <c r="J119" s="375">
        <v>1</v>
      </c>
      <c r="K119" s="370"/>
      <c r="L119" s="388">
        <f>+G119*J119</f>
        <v>0</v>
      </c>
      <c r="M119" s="370"/>
      <c r="N119" s="345"/>
    </row>
    <row r="120" spans="2:14" ht="15.75" thickBot="1">
      <c r="B120" s="379">
        <f t="shared" si="5"/>
        <v>65</v>
      </c>
      <c r="C120" s="432"/>
      <c r="D120" s="423" t="s">
        <v>106</v>
      </c>
      <c r="E120" s="370" t="s">
        <v>576</v>
      </c>
      <c r="F120" s="370"/>
      <c r="G120" s="424">
        <f>'WS C  - Working Capital'!E31</f>
        <v>-65731265.695</v>
      </c>
      <c r="H120" s="388"/>
      <c r="I120" s="374" t="s">
        <v>129</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3420571.9774999991</v>
      </c>
      <c r="H121" s="365"/>
      <c r="I121" s="380"/>
      <c r="J121" s="365"/>
      <c r="K121" s="365"/>
      <c r="L121" s="388">
        <f>SUM(L113:L120)</f>
        <v>7264129.3902825648</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546</v>
      </c>
      <c r="F123" s="365"/>
      <c r="G123" s="388">
        <f>+'WS D IPP Credits'!C23</f>
        <v>-347602</v>
      </c>
      <c r="H123" s="365"/>
      <c r="I123" s="496" t="s">
        <v>131</v>
      </c>
      <c r="J123" s="375">
        <v>1</v>
      </c>
      <c r="K123" s="370"/>
      <c r="L123" s="388">
        <f>+J123*G123</f>
        <v>-347602</v>
      </c>
      <c r="M123" s="365"/>
      <c r="N123" s="345"/>
    </row>
    <row r="124" spans="2:14" ht="15.75" thickBot="1">
      <c r="B124" s="379"/>
      <c r="C124" s="345"/>
      <c r="D124" s="504"/>
      <c r="E124" s="370"/>
      <c r="F124" s="370"/>
      <c r="G124" s="424"/>
      <c r="H124" s="370"/>
      <c r="I124" s="374"/>
      <c r="J124" s="370"/>
      <c r="K124" s="370"/>
      <c r="L124" s="424"/>
      <c r="M124" s="370"/>
      <c r="N124" s="345"/>
    </row>
    <row r="125" spans="2:14" ht="15.75" thickBot="1">
      <c r="B125" s="379">
        <f>+B123+1</f>
        <v>68</v>
      </c>
      <c r="C125" s="380"/>
      <c r="D125" s="391" t="str">
        <f>"RATE BASE  (sum lns "&amp;B95&amp;", "&amp;B104&amp;", "&amp;B106&amp;", "&amp;B108&amp;", "&amp;B110&amp;", "&amp;B121&amp;", "&amp;B123&amp;")"</f>
        <v>RATE BASE  (sum lns 46, 53, 54, 55, 56, 66, 67)</v>
      </c>
      <c r="E125" s="370"/>
      <c r="F125" s="370"/>
      <c r="G125" s="1156">
        <f>+G121+G106+G104+G95+G123+G108+G110</f>
        <v>1329207496.5517311</v>
      </c>
      <c r="H125" s="370"/>
      <c r="I125" s="370"/>
      <c r="J125" s="433"/>
      <c r="K125" s="370"/>
      <c r="L125" s="1156">
        <f>+L121+L106+L104+L95+L123+L108+L110</f>
        <v>352397231.37624419</v>
      </c>
      <c r="M125" s="370"/>
      <c r="N125" s="345"/>
    </row>
    <row r="126" spans="2:14" ht="16.5" thickTop="1">
      <c r="B126" s="354"/>
      <c r="C126" s="395"/>
      <c r="D126" s="395"/>
      <c r="E126" s="395"/>
      <c r="F126" s="395"/>
      <c r="G126" s="395"/>
      <c r="H126" s="395"/>
      <c r="I126" s="344"/>
      <c r="J126" s="344"/>
      <c r="K126" s="344"/>
      <c r="L126" s="1114"/>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KENTUCKY POWER COMPANY</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123</v>
      </c>
      <c r="E134" s="355" t="s">
        <v>124</v>
      </c>
      <c r="F134" s="355"/>
      <c r="G134" s="355" t="s">
        <v>125</v>
      </c>
      <c r="H134" s="370"/>
      <c r="I134" s="1490" t="s">
        <v>126</v>
      </c>
      <c r="J134" s="1494"/>
      <c r="K134" s="352"/>
      <c r="L134" s="356" t="s">
        <v>127</v>
      </c>
      <c r="M134" s="370"/>
      <c r="N134" s="452"/>
    </row>
    <row r="135" spans="2:15" ht="15.75">
      <c r="B135" s="447"/>
      <c r="D135" s="355"/>
      <c r="E135" s="355"/>
      <c r="F135" s="355"/>
      <c r="G135" s="355"/>
      <c r="H135" s="370"/>
      <c r="I135" s="352"/>
      <c r="J135" s="407"/>
      <c r="K135" s="352"/>
      <c r="M135" s="370"/>
      <c r="N135" s="453"/>
      <c r="O135" s="454"/>
    </row>
    <row r="136" spans="2:15" ht="15.75">
      <c r="B136" s="447"/>
      <c r="C136" s="355"/>
      <c r="D136" s="455" t="s">
        <v>102</v>
      </c>
      <c r="E136" s="409" t="str">
        <f>E62</f>
        <v>Data Sources</v>
      </c>
      <c r="F136" s="410"/>
      <c r="G136" s="352"/>
      <c r="H136" s="370"/>
      <c r="I136" s="352"/>
      <c r="J136" s="355"/>
      <c r="K136" s="352"/>
      <c r="L136" s="409" t="str">
        <f>L62</f>
        <v>Total</v>
      </c>
      <c r="M136" s="345"/>
      <c r="N136" s="453"/>
      <c r="O136" s="454"/>
    </row>
    <row r="137" spans="2:15" ht="15.75">
      <c r="B137" s="447"/>
      <c r="C137" s="362"/>
      <c r="D137" s="412" t="s">
        <v>103</v>
      </c>
      <c r="E137" s="456" t="str">
        <f>E63</f>
        <v>(See "General Notes")</v>
      </c>
      <c r="F137" s="352"/>
      <c r="G137" s="456" t="str">
        <f>G63</f>
        <v>TO Total</v>
      </c>
      <c r="H137" s="457"/>
      <c r="I137" s="1492" t="str">
        <f>I63</f>
        <v>Allocator</v>
      </c>
      <c r="J137" s="1493"/>
      <c r="K137" s="414"/>
      <c r="L137" s="456" t="str">
        <f>L63</f>
        <v>Transmission</v>
      </c>
      <c r="M137" s="370"/>
      <c r="N137" s="453"/>
      <c r="O137" s="454"/>
    </row>
    <row r="138" spans="2:15" ht="15.7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128</v>
      </c>
      <c r="E140" s="352" t="s">
        <v>10</v>
      </c>
      <c r="F140" s="352"/>
      <c r="G140" s="1441">
        <v>225081171</v>
      </c>
      <c r="H140" s="370"/>
      <c r="I140" s="383"/>
      <c r="J140" s="375"/>
      <c r="K140" s="352"/>
      <c r="L140" s="388"/>
      <c r="M140" s="370"/>
      <c r="N140" s="345"/>
    </row>
    <row r="141" spans="2:15">
      <c r="B141" s="354">
        <f>+B140+1</f>
        <v>70</v>
      </c>
      <c r="C141" s="355"/>
      <c r="D141" s="391" t="s">
        <v>132</v>
      </c>
      <c r="E141" s="352" t="s">
        <v>11</v>
      </c>
      <c r="F141" s="370"/>
      <c r="G141" s="1441">
        <v>42684984</v>
      </c>
      <c r="H141" s="370"/>
      <c r="I141" s="383"/>
      <c r="J141" s="375"/>
      <c r="K141" s="352"/>
      <c r="L141" s="388"/>
      <c r="M141" s="370"/>
      <c r="N141" s="345"/>
    </row>
    <row r="142" spans="2:15">
      <c r="B142" s="354">
        <f t="shared" ref="B142:B147" si="6">+B141+1</f>
        <v>71</v>
      </c>
      <c r="C142" s="355"/>
      <c r="D142" s="391" t="s">
        <v>248</v>
      </c>
      <c r="E142" s="352" t="s">
        <v>204</v>
      </c>
      <c r="F142" s="370"/>
      <c r="G142" s="1441">
        <f>5550696+136523+100198</f>
        <v>5787417</v>
      </c>
      <c r="H142" s="370"/>
      <c r="I142" s="374"/>
      <c r="J142" s="375"/>
      <c r="K142" s="370"/>
      <c r="L142" s="388"/>
      <c r="M142" s="370"/>
      <c r="N142" s="345"/>
    </row>
    <row r="143" spans="2:15">
      <c r="B143" s="354">
        <f t="shared" si="6"/>
        <v>72</v>
      </c>
      <c r="C143" s="355"/>
      <c r="D143" s="391" t="s">
        <v>249</v>
      </c>
      <c r="E143" s="352" t="s">
        <v>419</v>
      </c>
      <c r="F143" s="370"/>
      <c r="G143" s="1441">
        <v>963763</v>
      </c>
      <c r="H143" s="370"/>
      <c r="I143" s="374"/>
      <c r="J143" s="375"/>
      <c r="K143" s="370"/>
      <c r="L143" s="388"/>
      <c r="M143" s="370"/>
      <c r="N143" s="345"/>
    </row>
    <row r="144" spans="2:15" ht="15.75" thickBot="1">
      <c r="B144" s="354">
        <f t="shared" si="6"/>
        <v>73</v>
      </c>
      <c r="C144" s="355"/>
      <c r="D144" s="391" t="s">
        <v>137</v>
      </c>
      <c r="E144" s="352" t="s">
        <v>418</v>
      </c>
      <c r="F144" s="370"/>
      <c r="G144" s="1442">
        <v>43346378</v>
      </c>
      <c r="H144" s="388"/>
      <c r="I144" s="395"/>
      <c r="J144" s="395"/>
      <c r="K144" s="357"/>
      <c r="L144" s="357"/>
      <c r="M144" s="365"/>
      <c r="N144" s="370"/>
      <c r="O144" s="352"/>
    </row>
    <row r="145" spans="2:15">
      <c r="B145" s="354">
        <f t="shared" si="6"/>
        <v>74</v>
      </c>
      <c r="C145" s="355"/>
      <c r="D145" s="391" t="s">
        <v>250</v>
      </c>
      <c r="E145" s="370" t="str">
        <f>"(sum lns "&amp;B140&amp;"  to "&amp;B144&amp;")"</f>
        <v>(sum lns 69  to 73)</v>
      </c>
      <c r="F145" s="370"/>
      <c r="G145" s="388">
        <f>SUM(G140:G144)</f>
        <v>317863713</v>
      </c>
      <c r="H145" s="388"/>
      <c r="I145" s="395"/>
      <c r="J145" s="395"/>
      <c r="K145" s="357"/>
      <c r="L145" s="357"/>
      <c r="M145" s="365"/>
      <c r="N145" s="370"/>
      <c r="O145" s="352"/>
    </row>
    <row r="146" spans="2:15">
      <c r="B146" s="354">
        <f t="shared" si="6"/>
        <v>75</v>
      </c>
      <c r="C146" s="355"/>
      <c r="D146" s="391" t="s">
        <v>330</v>
      </c>
      <c r="E146" s="370" t="str">
        <f>"(Note G) (Worksheet F, ln "&amp;'WS F Misc Exp'!A33&amp;".C)"</f>
        <v>(Note G) (Worksheet F, ln 14.C)</v>
      </c>
      <c r="F146" s="370"/>
      <c r="G146" s="388">
        <f>'WS F Misc Exp'!D33</f>
        <v>1780785.34</v>
      </c>
      <c r="H146" s="388"/>
      <c r="I146" s="395"/>
      <c r="J146" s="395"/>
      <c r="K146" s="357"/>
      <c r="L146" s="357"/>
      <c r="M146" s="365"/>
      <c r="N146" s="370"/>
      <c r="O146" s="352"/>
    </row>
    <row r="147" spans="2:15">
      <c r="B147" s="354">
        <f t="shared" si="6"/>
        <v>76</v>
      </c>
      <c r="C147" s="355"/>
      <c r="D147" s="391" t="s">
        <v>23</v>
      </c>
      <c r="E147" s="370" t="s">
        <v>101</v>
      </c>
      <c r="F147" s="370"/>
      <c r="G147" s="1441">
        <v>50414808</v>
      </c>
      <c r="H147" s="388"/>
      <c r="I147" s="395"/>
      <c r="J147" s="395"/>
      <c r="K147" s="357"/>
      <c r="L147" s="357"/>
      <c r="M147" s="365"/>
      <c r="N147" s="370"/>
      <c r="O147" s="352"/>
    </row>
    <row r="148" spans="2:15" ht="15.75" thickBot="1">
      <c r="B148" s="354">
        <f>+B147+1</f>
        <v>77</v>
      </c>
      <c r="C148" s="380"/>
      <c r="D148" s="391" t="s">
        <v>334</v>
      </c>
      <c r="E148" s="370" t="s">
        <v>482</v>
      </c>
      <c r="F148" s="370"/>
      <c r="G148" s="424">
        <f>+'WS F Misc Exp'!D21</f>
        <v>-18660181.16</v>
      </c>
      <c r="H148" s="388"/>
      <c r="I148" s="441"/>
      <c r="J148" s="441"/>
      <c r="K148" s="357"/>
      <c r="L148" s="357"/>
      <c r="M148" s="365"/>
      <c r="N148" s="370"/>
      <c r="O148" s="352"/>
    </row>
    <row r="149" spans="2:15">
      <c r="B149" s="354">
        <f>+B148+1</f>
        <v>78</v>
      </c>
      <c r="C149" s="355"/>
      <c r="D149" s="391" t="s">
        <v>386</v>
      </c>
      <c r="E149" s="352" t="str">
        <f>"(lns "&amp;B144&amp;" - "&amp;B146&amp;" - "&amp;B147&amp;" - "&amp;B148&amp;")"</f>
        <v>(lns 73 - 75 - 76 - 77)</v>
      </c>
      <c r="F149" s="391"/>
      <c r="G149" s="388">
        <f>G144-G146-G147-G148</f>
        <v>9810965.8199999966</v>
      </c>
      <c r="H149" s="370"/>
      <c r="I149" s="383" t="s">
        <v>122</v>
      </c>
      <c r="J149" s="375">
        <f>L231</f>
        <v>0.98166864456932812</v>
      </c>
      <c r="K149" s="370"/>
      <c r="L149" s="388">
        <f>+J149*G149</f>
        <v>9631117.5184354037</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751</v>
      </c>
      <c r="F151" s="370"/>
      <c r="G151" s="1441">
        <v>22516742</v>
      </c>
      <c r="H151" s="388"/>
      <c r="I151" s="436"/>
      <c r="J151" s="436"/>
      <c r="K151" s="352"/>
      <c r="L151" s="435"/>
      <c r="M151" s="370"/>
      <c r="N151" s="370"/>
      <c r="O151" s="352"/>
    </row>
    <row r="152" spans="2:15">
      <c r="B152" s="354">
        <f t="shared" ref="B152:B165" si="7">+B151+1</f>
        <v>80</v>
      </c>
      <c r="C152" s="355"/>
      <c r="D152" s="391" t="s">
        <v>332</v>
      </c>
      <c r="E152" s="352" t="s">
        <v>420</v>
      </c>
      <c r="F152" s="352"/>
      <c r="G152" s="1441">
        <v>913035</v>
      </c>
      <c r="H152" s="388"/>
      <c r="I152" s="436"/>
      <c r="J152" s="346"/>
      <c r="K152" s="352"/>
      <c r="L152" s="435"/>
      <c r="M152" s="439"/>
      <c r="N152" s="370"/>
      <c r="O152" s="352"/>
    </row>
    <row r="153" spans="2:15">
      <c r="B153" s="354">
        <f t="shared" si="7"/>
        <v>81</v>
      </c>
      <c r="C153" s="355"/>
      <c r="D153" s="1275" t="s">
        <v>862</v>
      </c>
      <c r="E153" s="370" t="str">
        <f>"PBOP Worksheet O Line "&amp;'WS O - PBOP'!A37&amp;" &amp; "&amp;'WS O - PBOP'!A39&amp;", (Note K)"</f>
        <v>PBOP Worksheet O Line 9 &amp; 10, (Note K)</v>
      </c>
      <c r="F153" s="352"/>
      <c r="G153" s="1276">
        <f>'WS O - PBOP'!G37+'WS O - PBOP'!G39</f>
        <v>-3765666</v>
      </c>
      <c r="H153" s="388"/>
      <c r="I153" s="436"/>
      <c r="J153" s="346"/>
      <c r="K153" s="352"/>
      <c r="L153" s="435"/>
      <c r="M153" s="439"/>
      <c r="N153" s="370"/>
      <c r="O153" s="352"/>
    </row>
    <row r="154" spans="2:15">
      <c r="B154" s="354">
        <f t="shared" si="7"/>
        <v>82</v>
      </c>
      <c r="C154" s="355"/>
      <c r="D154" s="391" t="s">
        <v>863</v>
      </c>
      <c r="E154" s="370" t="str">
        <f>"PBOP Worksheet O  Line "&amp;'WS O - PBOP'!A41&amp;", (Note K)"</f>
        <v>PBOP Worksheet O  Line 11, (Note K)</v>
      </c>
      <c r="F154" s="352"/>
      <c r="G154" s="1276">
        <f>'WS O - PBOP'!G41</f>
        <v>0</v>
      </c>
      <c r="H154" s="388"/>
      <c r="I154" s="436"/>
      <c r="J154" s="346"/>
      <c r="K154" s="352"/>
      <c r="L154" s="435"/>
      <c r="M154" s="439"/>
      <c r="N154" s="370"/>
      <c r="O154" s="352"/>
    </row>
    <row r="155" spans="2:15">
      <c r="B155" s="354">
        <f t="shared" si="7"/>
        <v>83</v>
      </c>
      <c r="C155" s="355"/>
      <c r="D155" s="391" t="s">
        <v>864</v>
      </c>
      <c r="E155" s="370" t="str">
        <f>"PBOP Worksheet O Line "&amp;'WS O - PBOP'!A45&amp;", (Note K)"</f>
        <v>PBOP Worksheet O Line 13, (Note K)</v>
      </c>
      <c r="F155" s="352"/>
      <c r="G155" s="1276">
        <f>'WS O - PBOP'!G45</f>
        <v>-1263483.627696506</v>
      </c>
      <c r="H155" s="388"/>
      <c r="I155" s="436"/>
      <c r="J155" s="346"/>
      <c r="K155" s="352"/>
      <c r="L155" s="435"/>
      <c r="M155" s="439"/>
      <c r="N155" s="370"/>
      <c r="O155" s="352"/>
    </row>
    <row r="156" spans="2:15">
      <c r="B156" s="354">
        <f t="shared" si="7"/>
        <v>84</v>
      </c>
      <c r="C156" s="355"/>
      <c r="D156" s="346" t="s">
        <v>331</v>
      </c>
      <c r="E156" s="352" t="s">
        <v>97</v>
      </c>
      <c r="F156" s="370"/>
      <c r="G156" s="1441">
        <v>2589800</v>
      </c>
      <c r="H156" s="388"/>
      <c r="I156" s="436"/>
      <c r="J156" s="461"/>
      <c r="K156" s="352"/>
      <c r="L156" s="435"/>
      <c r="M156" s="370"/>
      <c r="N156" s="370"/>
      <c r="O156" s="352"/>
    </row>
    <row r="157" spans="2:15">
      <c r="B157" s="354">
        <f t="shared" si="7"/>
        <v>85</v>
      </c>
      <c r="C157" s="355"/>
      <c r="D157" s="391" t="s">
        <v>109</v>
      </c>
      <c r="E157" s="352" t="s">
        <v>98</v>
      </c>
      <c r="F157" s="370"/>
      <c r="G157" s="1441">
        <v>65774</v>
      </c>
      <c r="H157" s="388"/>
      <c r="I157" s="436"/>
      <c r="J157" s="436"/>
      <c r="K157" s="352"/>
      <c r="L157" s="435"/>
      <c r="M157" s="370"/>
      <c r="N157" s="370"/>
      <c r="O157" s="352"/>
    </row>
    <row r="158" spans="2:15" ht="15.75" thickBot="1">
      <c r="B158" s="354">
        <f t="shared" si="7"/>
        <v>86</v>
      </c>
      <c r="C158" s="355"/>
      <c r="D158" s="391" t="s">
        <v>333</v>
      </c>
      <c r="E158" s="352" t="s">
        <v>99</v>
      </c>
      <c r="F158" s="370"/>
      <c r="G158" s="1442">
        <v>556376</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23420906.627696507</v>
      </c>
      <c r="H159" s="388"/>
      <c r="I159" s="383" t="s">
        <v>134</v>
      </c>
      <c r="J159" s="375">
        <f>L241</f>
        <v>8.698323061964805E-2</v>
      </c>
      <c r="K159" s="352"/>
      <c r="L159" s="435">
        <f>+J159*G159</f>
        <v>2037226.1225181688</v>
      </c>
      <c r="M159" s="370"/>
      <c r="N159" s="370"/>
      <c r="O159" s="352"/>
    </row>
    <row r="160" spans="2:15">
      <c r="B160" s="354">
        <f t="shared" si="7"/>
        <v>88</v>
      </c>
      <c r="C160" s="380"/>
      <c r="D160" s="391" t="s">
        <v>199</v>
      </c>
      <c r="E160" s="370" t="str">
        <f>"(ln "&amp;B152&amp;")"</f>
        <v>(ln 80)</v>
      </c>
      <c r="F160" s="370"/>
      <c r="G160" s="388">
        <f>+G152</f>
        <v>913035</v>
      </c>
      <c r="H160" s="388"/>
      <c r="I160" s="383" t="s">
        <v>760</v>
      </c>
      <c r="J160" s="375">
        <f>J75</f>
        <v>0.22738977254840406</v>
      </c>
      <c r="K160" s="370"/>
      <c r="L160" s="388">
        <f>+J160*G160</f>
        <v>207614.82097873211</v>
      </c>
      <c r="M160" s="370"/>
      <c r="N160" s="370"/>
      <c r="O160" s="352"/>
    </row>
    <row r="161" spans="2:15">
      <c r="B161" s="354">
        <f t="shared" si="7"/>
        <v>89</v>
      </c>
      <c r="C161" s="355"/>
      <c r="D161" s="391" t="s">
        <v>232</v>
      </c>
      <c r="E161" s="370" t="str">
        <f>"Worksheet F ln "&amp;'WS F Misc Exp'!A41&amp;".(E) (Note L)"</f>
        <v>Worksheet F ln 20.(E) (Note L)</v>
      </c>
      <c r="F161" s="370"/>
      <c r="G161" s="388">
        <f>+'WS F Misc Exp'!F41</f>
        <v>13418.84</v>
      </c>
      <c r="H161" s="388"/>
      <c r="I161" s="383" t="s">
        <v>122</v>
      </c>
      <c r="J161" s="375">
        <f>L231</f>
        <v>0.98166864456932812</v>
      </c>
      <c r="K161" s="352"/>
      <c r="L161" s="435">
        <f>J161*G161</f>
        <v>13172.854474492684</v>
      </c>
      <c r="M161" s="370"/>
      <c r="N161" s="370"/>
      <c r="O161" s="352"/>
    </row>
    <row r="162" spans="2:15">
      <c r="B162" s="354">
        <f t="shared" si="7"/>
        <v>90</v>
      </c>
      <c r="C162" s="355"/>
      <c r="D162" s="391" t="s">
        <v>242</v>
      </c>
      <c r="E162" s="370" t="str">
        <f>"Worksheet F ln "&amp;'WS F Misc Exp'!A61&amp;".(E) (Note L)"</f>
        <v>Worksheet F ln 37.(E) (Note L)</v>
      </c>
      <c r="F162" s="370"/>
      <c r="G162" s="373">
        <f>+'WS F Misc Exp'!F61</f>
        <v>0</v>
      </c>
      <c r="H162" s="370"/>
      <c r="I162" s="374" t="s">
        <v>122</v>
      </c>
      <c r="J162" s="375">
        <f>L231</f>
        <v>0.98166864456932812</v>
      </c>
      <c r="K162" s="352"/>
      <c r="L162" s="435">
        <f>+J162*G162</f>
        <v>0</v>
      </c>
      <c r="M162" s="370"/>
      <c r="N162" s="370"/>
      <c r="O162" s="352"/>
    </row>
    <row r="163" spans="2:15">
      <c r="B163" s="354">
        <f t="shared" si="7"/>
        <v>91</v>
      </c>
      <c r="C163" s="355"/>
      <c r="D163" s="391" t="s">
        <v>243</v>
      </c>
      <c r="E163" s="370" t="str">
        <f>"Worksheet F ln "&amp;'WS F Misc Exp'!A71&amp;".(E) (Note L)"</f>
        <v>Worksheet F ln 43.(E) (Note L)</v>
      </c>
      <c r="F163" s="370"/>
      <c r="G163" s="373">
        <f>+'WS F Misc Exp'!F71</f>
        <v>4341.47</v>
      </c>
      <c r="H163" s="462"/>
      <c r="I163" s="374" t="s">
        <v>131</v>
      </c>
      <c r="J163" s="375">
        <v>1</v>
      </c>
      <c r="K163" s="352"/>
      <c r="L163" s="463">
        <f>+J163*G163</f>
        <v>4341.47</v>
      </c>
      <c r="M163" s="370"/>
      <c r="N163" s="370"/>
      <c r="O163" s="352"/>
    </row>
    <row r="164" spans="2:15">
      <c r="B164" s="354">
        <f t="shared" si="7"/>
        <v>92</v>
      </c>
      <c r="C164" s="355"/>
      <c r="D164" s="391" t="s">
        <v>865</v>
      </c>
      <c r="E164" s="370" t="s">
        <v>867</v>
      </c>
      <c r="F164" s="370"/>
      <c r="G164" s="1317">
        <f>'WS O - PBOP'!E24</f>
        <v>-10585270</v>
      </c>
      <c r="H164" s="462"/>
      <c r="I164" s="383" t="s">
        <v>134</v>
      </c>
      <c r="J164" s="375">
        <f>L241</f>
        <v>8.698323061964805E-2</v>
      </c>
      <c r="K164" s="352"/>
      <c r="L164" s="492">
        <f>+J164*G164</f>
        <v>-920740.98158124194</v>
      </c>
      <c r="M164" s="370"/>
      <c r="N164" s="370"/>
      <c r="O164" s="352"/>
    </row>
    <row r="165" spans="2:15">
      <c r="B165" s="354">
        <f t="shared" si="7"/>
        <v>93</v>
      </c>
      <c r="C165" s="355"/>
      <c r="D165" s="346" t="s">
        <v>111</v>
      </c>
      <c r="E165" s="370" t="str">
        <f>"(sum lns "&amp;B159&amp;"  to "&amp;B164&amp;")"</f>
        <v>(sum lns 87  to 92)</v>
      </c>
      <c r="F165" s="370"/>
      <c r="G165" s="435">
        <f>SUM(G159:G164)</f>
        <v>13766431.937696505</v>
      </c>
      <c r="H165" s="388"/>
      <c r="I165" s="383"/>
      <c r="J165" s="436"/>
      <c r="K165" s="352"/>
      <c r="L165" s="435">
        <f>SUM(L159:L164)</f>
        <v>1341614.2863901523</v>
      </c>
      <c r="M165" s="370"/>
      <c r="N165" s="388"/>
      <c r="O165" s="352"/>
    </row>
    <row r="166" spans="2:15" ht="15.75" thickBot="1">
      <c r="B166" s="354"/>
      <c r="C166" s="355"/>
      <c r="D166" s="391"/>
      <c r="E166" s="370"/>
      <c r="F166" s="370"/>
      <c r="G166" s="424"/>
      <c r="H166" s="370"/>
      <c r="I166" s="383"/>
      <c r="J166" s="436"/>
      <c r="K166" s="352"/>
      <c r="L166" s="445"/>
      <c r="M166" s="370"/>
      <c r="N166" s="370"/>
      <c r="O166" s="352"/>
    </row>
    <row r="167" spans="2:15">
      <c r="B167" s="354">
        <f>+B165+1</f>
        <v>94</v>
      </c>
      <c r="C167" s="380"/>
      <c r="D167" s="391" t="s">
        <v>416</v>
      </c>
      <c r="E167" s="370" t="str">
        <f>"(ln "&amp;B149&amp;" + ln "&amp;B165&amp;")"</f>
        <v>(ln 78 + ln 93)</v>
      </c>
      <c r="F167" s="370"/>
      <c r="G167" s="388">
        <f>+G149+G165</f>
        <v>23577397.757696502</v>
      </c>
      <c r="H167" s="388"/>
      <c r="I167" s="374"/>
      <c r="J167" s="370"/>
      <c r="K167" s="370"/>
      <c r="L167" s="388">
        <f>L149+L165</f>
        <v>10972731.804825556</v>
      </c>
      <c r="M167" s="370"/>
      <c r="N167" s="370"/>
      <c r="O167" s="352"/>
    </row>
    <row r="168" spans="2:15" ht="15.75" thickBot="1">
      <c r="B168" s="354">
        <f>+B167+1</f>
        <v>95</v>
      </c>
      <c r="C168" s="380"/>
      <c r="D168" s="391" t="s">
        <v>488</v>
      </c>
      <c r="E168" s="391"/>
      <c r="F168" s="370"/>
      <c r="G168" s="1442">
        <v>0</v>
      </c>
      <c r="H168" s="388"/>
      <c r="I168" s="383" t="s">
        <v>131</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23577397.757696502</v>
      </c>
      <c r="H169" s="388"/>
      <c r="I169" s="374"/>
      <c r="J169" s="370"/>
      <c r="K169" s="370"/>
      <c r="L169" s="388">
        <f>+L167+L168</f>
        <v>10972731.804825556</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115</v>
      </c>
      <c r="E171" s="374"/>
      <c r="F171" s="374"/>
      <c r="G171" s="435"/>
      <c r="H171" s="370"/>
      <c r="I171" s="383"/>
      <c r="J171" s="352"/>
      <c r="K171" s="352"/>
      <c r="L171" s="435"/>
      <c r="M171" s="370"/>
      <c r="N171" s="370"/>
      <c r="O171" s="352"/>
    </row>
    <row r="172" spans="2:15">
      <c r="B172" s="354">
        <f t="shared" ref="B172:B177" si="8">+B171+1</f>
        <v>98</v>
      </c>
      <c r="C172" s="355"/>
      <c r="D172" s="346" t="s">
        <v>128</v>
      </c>
      <c r="E172" s="369" t="s">
        <v>426</v>
      </c>
      <c r="F172" s="374"/>
      <c r="G172" s="1441">
        <v>34697146</v>
      </c>
      <c r="H172" s="370"/>
      <c r="I172" s="383" t="s">
        <v>129</v>
      </c>
      <c r="J172" s="375">
        <v>0</v>
      </c>
      <c r="K172" s="352"/>
      <c r="L172" s="388">
        <f>+G172*J172</f>
        <v>0</v>
      </c>
      <c r="M172" s="370"/>
      <c r="N172" s="370"/>
      <c r="O172" s="352"/>
    </row>
    <row r="173" spans="2:15">
      <c r="B173" s="354">
        <f t="shared" si="8"/>
        <v>99</v>
      </c>
      <c r="C173" s="355"/>
      <c r="D173" s="391" t="s">
        <v>132</v>
      </c>
      <c r="E173" s="369" t="s">
        <v>425</v>
      </c>
      <c r="F173" s="374"/>
      <c r="G173" s="1441">
        <v>32682142</v>
      </c>
      <c r="H173" s="370"/>
      <c r="I173" s="383" t="s">
        <v>129</v>
      </c>
      <c r="J173" s="375">
        <v>0</v>
      </c>
      <c r="K173" s="352"/>
      <c r="L173" s="388">
        <f>+G173*J173</f>
        <v>0</v>
      </c>
      <c r="M173" s="370"/>
      <c r="N173" s="370"/>
      <c r="O173" s="352"/>
    </row>
    <row r="174" spans="2:15">
      <c r="B174" s="354">
        <f t="shared" si="8"/>
        <v>100</v>
      </c>
      <c r="C174" s="355"/>
      <c r="D174" s="418" t="str">
        <f>+D144</f>
        <v xml:space="preserve">  Transmission </v>
      </c>
      <c r="E174" s="369" t="s">
        <v>421</v>
      </c>
      <c r="F174" s="464"/>
      <c r="G174" s="1441">
        <v>18117448</v>
      </c>
      <c r="H174" s="465"/>
      <c r="I174" s="466" t="s">
        <v>26</v>
      </c>
      <c r="J174" s="375">
        <f>J80</f>
        <v>0.97385258990306034</v>
      </c>
      <c r="K174" s="467"/>
      <c r="L174" s="468">
        <f>J174*G174</f>
        <v>17643723.657234021</v>
      </c>
      <c r="M174" s="421"/>
      <c r="N174" s="370"/>
      <c r="O174" s="352"/>
    </row>
    <row r="175" spans="2:15">
      <c r="B175" s="354">
        <f>+B174+1</f>
        <v>101</v>
      </c>
      <c r="C175" s="355"/>
      <c r="D175" s="416" t="s">
        <v>138</v>
      </c>
      <c r="E175" s="464" t="s">
        <v>422</v>
      </c>
      <c r="F175" s="352"/>
      <c r="G175" s="1441">
        <v>2534606</v>
      </c>
      <c r="H175" s="388"/>
      <c r="I175" s="383" t="s">
        <v>134</v>
      </c>
      <c r="J175" s="375">
        <f>L241</f>
        <v>8.698323061964805E-2</v>
      </c>
      <c r="K175" s="352"/>
      <c r="L175" s="435">
        <f>+J175*G175</f>
        <v>220468.21822794367</v>
      </c>
      <c r="M175" s="370"/>
      <c r="N175" s="370"/>
      <c r="O175" s="352"/>
    </row>
    <row r="176" spans="2:15" ht="15.75" thickBot="1">
      <c r="B176" s="354">
        <f t="shared" si="8"/>
        <v>102</v>
      </c>
      <c r="C176" s="355"/>
      <c r="D176" s="416" t="s">
        <v>139</v>
      </c>
      <c r="E176" s="419" t="s">
        <v>423</v>
      </c>
      <c r="F176" s="370"/>
      <c r="G176" s="1442">
        <v>7448031</v>
      </c>
      <c r="H176" s="388"/>
      <c r="I176" s="383" t="s">
        <v>134</v>
      </c>
      <c r="J176" s="375">
        <f>L241</f>
        <v>8.698323061964805E-2</v>
      </c>
      <c r="K176" s="352"/>
      <c r="L176" s="445">
        <f>+J176*G176</f>
        <v>647853.79813528783</v>
      </c>
      <c r="M176" s="370"/>
      <c r="N176" s="370"/>
      <c r="O176" s="352"/>
    </row>
    <row r="177" spans="2:15">
      <c r="B177" s="354">
        <f t="shared" si="8"/>
        <v>103</v>
      </c>
      <c r="C177" s="355"/>
      <c r="D177" s="416" t="s">
        <v>303</v>
      </c>
      <c r="E177" s="1487" t="str">
        <f>"(Ln "&amp;B172&amp;"+"&amp;B173&amp;"+
"&amp;B174&amp;"+"&amp;B175&amp;"+"&amp;B176&amp;")"</f>
        <v>(Ln 98+99+
100+101+102)</v>
      </c>
      <c r="F177" s="352"/>
      <c r="G177" s="388">
        <f>+G172+G173+G174+G175+G176</f>
        <v>95479373</v>
      </c>
      <c r="H177" s="370"/>
      <c r="I177" s="383"/>
      <c r="J177" s="352"/>
      <c r="K177" s="352"/>
      <c r="L177" s="388">
        <f>+L172+L173+L174+L175+L176</f>
        <v>18512045.673597254</v>
      </c>
      <c r="M177" s="370"/>
      <c r="N177" s="370"/>
      <c r="O177" s="352"/>
    </row>
    <row r="178" spans="2:15">
      <c r="B178" s="354"/>
      <c r="C178" s="355"/>
      <c r="D178" s="416"/>
      <c r="E178" s="1488"/>
      <c r="F178" s="352"/>
      <c r="G178" s="435"/>
      <c r="H178" s="370"/>
      <c r="I178" s="383"/>
      <c r="J178" s="352"/>
      <c r="K178" s="352"/>
      <c r="L178" s="435"/>
      <c r="M178" s="370"/>
      <c r="N178" s="370"/>
      <c r="O178" s="352"/>
    </row>
    <row r="179" spans="2:15">
      <c r="B179" s="354">
        <f>+B177+1</f>
        <v>104</v>
      </c>
      <c r="C179" s="355"/>
      <c r="D179" s="416" t="s">
        <v>33</v>
      </c>
      <c r="E179" s="345" t="s">
        <v>424</v>
      </c>
      <c r="G179" s="435"/>
      <c r="H179" s="370"/>
      <c r="I179" s="383"/>
      <c r="J179" s="352"/>
      <c r="K179" s="352"/>
      <c r="L179" s="435"/>
      <c r="M179" s="370"/>
      <c r="N179" s="448"/>
      <c r="O179" s="352"/>
    </row>
    <row r="180" spans="2:15">
      <c r="B180" s="354">
        <f t="shared" ref="B180:B185" si="9">+B179+1</f>
        <v>105</v>
      </c>
      <c r="C180" s="355"/>
      <c r="D180" s="416" t="s">
        <v>140</v>
      </c>
      <c r="G180" s="435"/>
      <c r="H180" s="370"/>
      <c r="I180" s="383"/>
      <c r="K180" s="352"/>
      <c r="L180" s="435"/>
      <c r="M180" s="370"/>
      <c r="N180" s="370"/>
      <c r="O180" s="352"/>
    </row>
    <row r="181" spans="2:15">
      <c r="B181" s="354">
        <f t="shared" si="9"/>
        <v>106</v>
      </c>
      <c r="C181" s="355"/>
      <c r="D181" s="416" t="s">
        <v>141</v>
      </c>
      <c r="E181" s="370" t="str">
        <f>"Worksheet H ln "&amp;'WS H Other Taxes'!A43&amp;"."&amp;'WS H Other Taxes'!I10&amp;""</f>
        <v>Worksheet H ln 24.(D)</v>
      </c>
      <c r="F181" s="352"/>
      <c r="G181" s="388">
        <f>+'WS H Other Taxes'!I43</f>
        <v>1864700</v>
      </c>
      <c r="H181" s="388"/>
      <c r="I181" s="383" t="s">
        <v>134</v>
      </c>
      <c r="J181" s="375">
        <f>L241</f>
        <v>8.698323061964805E-2</v>
      </c>
      <c r="K181" s="352"/>
      <c r="L181" s="435">
        <f>+J181*G181</f>
        <v>162197.63013645771</v>
      </c>
      <c r="M181" s="440"/>
      <c r="N181" s="370"/>
      <c r="O181" s="352"/>
    </row>
    <row r="182" spans="2:15">
      <c r="B182" s="354">
        <f t="shared" si="9"/>
        <v>107</v>
      </c>
      <c r="C182" s="355"/>
      <c r="D182" s="416" t="s">
        <v>142</v>
      </c>
      <c r="E182" s="370" t="s">
        <v>116</v>
      </c>
      <c r="F182" s="352"/>
      <c r="G182" s="388"/>
      <c r="H182" s="388"/>
      <c r="I182" s="383"/>
      <c r="K182" s="352"/>
      <c r="L182" s="435"/>
      <c r="M182" s="370"/>
      <c r="N182" s="370"/>
      <c r="O182" s="352"/>
    </row>
    <row r="183" spans="2:15">
      <c r="B183" s="354">
        <f t="shared" si="9"/>
        <v>108</v>
      </c>
      <c r="C183" s="380"/>
      <c r="D183" s="423" t="s">
        <v>143</v>
      </c>
      <c r="E183" s="370" t="str">
        <f>"Worksheet H ln "&amp;'WS H Other Taxes'!A43&amp;"."&amp;'WS H Other Taxes'!G10&amp;""</f>
        <v>Worksheet H ln 24.(C)</v>
      </c>
      <c r="F183" s="370"/>
      <c r="G183" s="388">
        <f>+'WS H Other Taxes'!G43</f>
        <v>18127620</v>
      </c>
      <c r="H183" s="388"/>
      <c r="I183" s="374" t="s">
        <v>131</v>
      </c>
      <c r="J183" s="375"/>
      <c r="K183" s="370"/>
      <c r="L183" s="448">
        <f>'WS H-1-Detail of Tax Amts'!I27</f>
        <v>5887943.6396409003</v>
      </c>
      <c r="M183" s="469"/>
      <c r="N183" s="448"/>
      <c r="O183" s="370"/>
    </row>
    <row r="184" spans="2:15">
      <c r="B184" s="354">
        <f t="shared" si="9"/>
        <v>109</v>
      </c>
      <c r="C184" s="355"/>
      <c r="D184" s="416" t="s">
        <v>202</v>
      </c>
      <c r="E184" s="370" t="str">
        <f>"Worksheet H ln "&amp;'WS H Other Taxes'!A43&amp;"."&amp;'WS H Other Taxes'!M10&amp;""</f>
        <v>Worksheet H ln 24.(F)</v>
      </c>
      <c r="F184" s="352"/>
      <c r="G184" s="388">
        <f>+'WS H Other Taxes'!M43</f>
        <v>6278539</v>
      </c>
      <c r="H184" s="441"/>
      <c r="I184" s="383" t="s">
        <v>129</v>
      </c>
      <c r="J184" s="375">
        <v>0</v>
      </c>
      <c r="K184" s="352"/>
      <c r="L184" s="435">
        <f>+J184*G184</f>
        <v>0</v>
      </c>
      <c r="M184" s="370"/>
      <c r="N184" s="370"/>
      <c r="O184" s="352"/>
    </row>
    <row r="185" spans="2:15" ht="15.75" thickBot="1">
      <c r="B185" s="354">
        <f t="shared" si="9"/>
        <v>110</v>
      </c>
      <c r="C185" s="355"/>
      <c r="D185" s="416" t="s">
        <v>144</v>
      </c>
      <c r="E185" s="370" t="str">
        <f>"Worksheet H ln "&amp;'WS H Other Taxes'!A43&amp;"."&amp;'WS H Other Taxes'!K10&amp;""</f>
        <v>Worksheet H ln 24.(E)</v>
      </c>
      <c r="F185" s="352"/>
      <c r="G185" s="424">
        <f>+'WS H Other Taxes'!K43</f>
        <v>1709285</v>
      </c>
      <c r="H185" s="441"/>
      <c r="I185" s="383" t="s">
        <v>760</v>
      </c>
      <c r="J185" s="375">
        <f>J75</f>
        <v>0.22738977254840406</v>
      </c>
      <c r="K185" s="352"/>
      <c r="L185" s="445">
        <f>+J185*G185</f>
        <v>388673.92737039883</v>
      </c>
      <c r="M185" s="370"/>
      <c r="N185" s="370"/>
      <c r="O185" s="352"/>
    </row>
    <row r="186" spans="2:15">
      <c r="B186" s="354">
        <f>+B185+1</f>
        <v>111</v>
      </c>
      <c r="C186" s="355"/>
      <c r="D186" s="416" t="s">
        <v>34</v>
      </c>
      <c r="E186" s="382" t="str">
        <f>"(sum lns "&amp;B181&amp;" to "&amp;B185&amp;")"</f>
        <v>(sum lns 106 to 110)</v>
      </c>
      <c r="F186" s="352"/>
      <c r="G186" s="388">
        <f>SUM(G181:G185)</f>
        <v>27980144</v>
      </c>
      <c r="H186" s="370"/>
      <c r="I186" s="383"/>
      <c r="J186" s="470"/>
      <c r="K186" s="352"/>
      <c r="L186" s="435">
        <f>SUM(L181:L185)</f>
        <v>6438815.1971477568</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339</v>
      </c>
      <c r="E188" s="370" t="s">
        <v>427</v>
      </c>
      <c r="F188" s="471"/>
      <c r="G188" s="352"/>
      <c r="H188" s="395"/>
      <c r="I188" s="449"/>
      <c r="K188" s="352"/>
      <c r="L188" s="472"/>
      <c r="M188" s="370"/>
      <c r="N188" s="370"/>
      <c r="O188" s="352"/>
    </row>
    <row r="189" spans="2:15">
      <c r="B189" s="354">
        <f t="shared" ref="B189:B196" si="10">+B188+1</f>
        <v>113</v>
      </c>
      <c r="C189" s="355"/>
      <c r="D189" s="473" t="s">
        <v>340</v>
      </c>
      <c r="E189" s="352"/>
      <c r="F189" s="474"/>
      <c r="G189" s="475">
        <f>IF(F339&gt;0,1-(((1-F340)*(1-F339))/(1-F340*F339*F341)),0)</f>
        <v>0.25818999999999992</v>
      </c>
      <c r="H189" s="476"/>
      <c r="I189" s="476"/>
      <c r="K189" s="477"/>
      <c r="L189" s="472"/>
      <c r="M189" s="370"/>
      <c r="N189" s="370"/>
      <c r="O189" s="352"/>
    </row>
    <row r="190" spans="2:15">
      <c r="B190" s="354">
        <f t="shared" si="10"/>
        <v>114</v>
      </c>
      <c r="C190" s="355"/>
      <c r="D190" s="378" t="s">
        <v>341</v>
      </c>
      <c r="E190" s="352"/>
      <c r="F190" s="474"/>
      <c r="G190" s="475">
        <f>IF(L255&gt;0,($G189/(1-$G189))*(1-$L255/$L258),0)</f>
        <v>0.23733346763128169</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430</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1.3480540839298472</v>
      </c>
      <c r="H193" s="395"/>
      <c r="I193" s="400"/>
      <c r="J193" s="484"/>
      <c r="K193" s="485"/>
      <c r="L193" s="486"/>
      <c r="M193" s="370"/>
      <c r="N193" s="370"/>
      <c r="O193" s="352"/>
    </row>
    <row r="194" spans="2:15">
      <c r="B194" s="354">
        <f t="shared" si="10"/>
        <v>118</v>
      </c>
      <c r="C194" s="355"/>
      <c r="D194" s="416" t="s">
        <v>342</v>
      </c>
      <c r="E194" s="436" t="s">
        <v>506</v>
      </c>
      <c r="F194" s="471"/>
      <c r="G194" s="1441">
        <v>-26</v>
      </c>
      <c r="H194" s="395"/>
      <c r="I194" s="400"/>
      <c r="J194" s="487"/>
      <c r="K194" s="485"/>
      <c r="L194" s="472"/>
      <c r="M194" s="374"/>
      <c r="N194" s="370"/>
      <c r="O194" s="352"/>
    </row>
    <row r="195" spans="2:15">
      <c r="B195" s="354">
        <f t="shared" si="10"/>
        <v>119</v>
      </c>
      <c r="C195" s="355"/>
      <c r="D195" s="378" t="s">
        <v>534</v>
      </c>
      <c r="E195" s="370" t="s">
        <v>547</v>
      </c>
      <c r="F195" s="488"/>
      <c r="G195" s="1441">
        <v>-8292938</v>
      </c>
      <c r="H195" s="395"/>
      <c r="I195" s="374" t="s">
        <v>131</v>
      </c>
      <c r="J195" s="487"/>
      <c r="K195" s="485"/>
      <c r="L195" s="1441">
        <v>-1406803</v>
      </c>
      <c r="M195" s="374"/>
      <c r="N195" s="370"/>
      <c r="O195" s="352"/>
    </row>
    <row r="196" spans="2:15">
      <c r="B196" s="354">
        <f t="shared" si="10"/>
        <v>120</v>
      </c>
      <c r="C196" s="355"/>
      <c r="D196" s="504" t="s">
        <v>750</v>
      </c>
      <c r="E196" s="370" t="s">
        <v>547</v>
      </c>
      <c r="F196" s="488"/>
      <c r="G196" s="1441">
        <v>1737583.4700000007</v>
      </c>
      <c r="H196" s="395"/>
      <c r="I196" s="374" t="s">
        <v>131</v>
      </c>
      <c r="J196" s="487"/>
      <c r="K196" s="485"/>
      <c r="L196" s="1441">
        <v>773774.93</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343</v>
      </c>
      <c r="E198" s="488" t="str">
        <f>"(ln "&amp;B190&amp;" * ln "&amp;B205&amp;")"</f>
        <v>(ln 114 * ln 126)</v>
      </c>
      <c r="F198" s="490"/>
      <c r="G198" s="435">
        <f>+G190*G205</f>
        <v>21719114.700235531</v>
      </c>
      <c r="H198" s="395"/>
      <c r="I198" s="400"/>
      <c r="J198" s="489"/>
      <c r="K198" s="435"/>
      <c r="L198" s="435">
        <f>+L205*G190</f>
        <v>5758134.7593672788</v>
      </c>
      <c r="M198" s="370"/>
      <c r="N198" s="370"/>
      <c r="O198" s="352"/>
    </row>
    <row r="199" spans="2:15">
      <c r="B199" s="354">
        <f>+B198+1</f>
        <v>122</v>
      </c>
      <c r="C199" s="355"/>
      <c r="D199" s="504" t="s">
        <v>344</v>
      </c>
      <c r="E199" s="488" t="str">
        <f>"(ln "&amp;B193&amp;" * ln "&amp;B194&amp;")"</f>
        <v>(ln 117 * ln 118)</v>
      </c>
      <c r="F199" s="488"/>
      <c r="G199" s="463">
        <f>G193*G194</f>
        <v>-35.049406182176028</v>
      </c>
      <c r="H199" s="395"/>
      <c r="I199" s="374" t="s">
        <v>760</v>
      </c>
      <c r="J199" s="375">
        <f>J75</f>
        <v>0.22738977254840406</v>
      </c>
      <c r="K199" s="435"/>
      <c r="L199" s="463">
        <f>+G199*J199</f>
        <v>-7.969876499721634</v>
      </c>
      <c r="M199" s="370"/>
      <c r="N199" s="370"/>
      <c r="O199" s="352"/>
    </row>
    <row r="200" spans="2:15">
      <c r="B200" s="354">
        <f>B199+1</f>
        <v>123</v>
      </c>
      <c r="C200" s="355"/>
      <c r="D200" s="504" t="s">
        <v>534</v>
      </c>
      <c r="E200" s="488" t="str">
        <f>"(ln "&amp;B193&amp;" * ln "&amp;B195&amp;")"</f>
        <v>(ln 117 * ln 119)</v>
      </c>
      <c r="F200" s="488"/>
      <c r="G200" s="463">
        <f>G195*G193</f>
        <v>-11179328.938677019</v>
      </c>
      <c r="H200" s="395"/>
      <c r="I200" s="491"/>
      <c r="J200" s="375"/>
      <c r="K200" s="435"/>
      <c r="L200" s="463">
        <f>L195*G193</f>
        <v>-1896446.5294347608</v>
      </c>
      <c r="M200" s="370"/>
      <c r="N200" s="370"/>
      <c r="O200" s="352"/>
    </row>
    <row r="201" spans="2:15">
      <c r="B201" s="354">
        <f>B200+1</f>
        <v>124</v>
      </c>
      <c r="C201" s="355"/>
      <c r="D201" s="504" t="s">
        <v>750</v>
      </c>
      <c r="E201" s="488" t="str">
        <f>"(ln "&amp;B193&amp;" * ln "&amp;B196&amp;")"</f>
        <v>(ln 117 * ln 120)</v>
      </c>
      <c r="F201" s="488"/>
      <c r="G201" s="492">
        <f>G196*G193</f>
        <v>2342356.4929024959</v>
      </c>
      <c r="H201" s="395"/>
      <c r="I201" s="491"/>
      <c r="J201" s="375"/>
      <c r="K201" s="435"/>
      <c r="L201" s="492">
        <f>L196*G193</f>
        <v>1043090.4544290317</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12882107.205054827</v>
      </c>
      <c r="H203" s="395"/>
      <c r="I203" s="400" t="s">
        <v>116</v>
      </c>
      <c r="J203" s="493"/>
      <c r="K203" s="435"/>
      <c r="L203" s="402">
        <f>SUM(L198:L201)</f>
        <v>4904770.7144850492</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201</v>
      </c>
      <c r="E205" s="482" t="str">
        <f>"(ln "&amp;B125&amp;" * ln "&amp;B258&amp;")"</f>
        <v>(ln 68 * ln 157)</v>
      </c>
      <c r="F205" s="446"/>
      <c r="G205" s="435">
        <f>+$L258*G125</f>
        <v>91513071.953164548</v>
      </c>
      <c r="H205" s="370"/>
      <c r="I205" s="400"/>
      <c r="J205" s="435"/>
      <c r="K205" s="435"/>
      <c r="L205" s="435">
        <f>+L258*L125</f>
        <v>24261790.03255051</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14152</v>
      </c>
      <c r="H207" s="388"/>
      <c r="I207" s="444" t="s">
        <v>131</v>
      </c>
      <c r="J207" s="375">
        <v>1</v>
      </c>
      <c r="K207" s="468"/>
      <c r="L207" s="435">
        <f>+J207*G207</f>
        <v>14152</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5.75" thickBot="1">
      <c r="B212" s="354"/>
      <c r="C212" s="355"/>
      <c r="D212" s="416"/>
      <c r="G212" s="445"/>
      <c r="H212" s="497"/>
      <c r="I212" s="400"/>
      <c r="J212" s="400"/>
      <c r="K212" s="435"/>
      <c r="L212" s="445"/>
      <c r="M212" s="370"/>
      <c r="N212" s="345"/>
    </row>
    <row r="213" spans="2:15" ht="15.75" thickBot="1">
      <c r="B213" s="354">
        <f>+B211+1</f>
        <v>130</v>
      </c>
      <c r="C213" s="355"/>
      <c r="D213" s="340" t="s">
        <v>251</v>
      </c>
      <c r="G213" s="498">
        <f>+G207+G205+G203+G186+G177+G169+G209+G211</f>
        <v>251446245.91591588</v>
      </c>
      <c r="L213" s="498">
        <f>+L207+L205+L203+L186+L177+L169+L209+L211</f>
        <v>65104305.422606125</v>
      </c>
      <c r="M213" s="370"/>
      <c r="N213" s="345"/>
    </row>
    <row r="214" spans="2:15" ht="15.75"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KENTUCKY POWER COMPANY</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ht="15.75">
      <c r="B222" s="354"/>
      <c r="C222" s="355"/>
      <c r="F222" s="455" t="s">
        <v>41</v>
      </c>
      <c r="H222" s="349"/>
      <c r="I222" s="349"/>
      <c r="J222" s="349"/>
      <c r="K222" s="349"/>
      <c r="L222" s="349"/>
      <c r="M222" s="370"/>
      <c r="N222" s="345"/>
    </row>
    <row r="223" spans="2:15" ht="15.75">
      <c r="B223" s="354"/>
      <c r="C223" s="355"/>
      <c r="D223" s="500"/>
      <c r="E223" s="349"/>
      <c r="F223" s="349"/>
      <c r="G223" s="349"/>
      <c r="H223" s="349"/>
      <c r="I223" s="349"/>
      <c r="J223" s="349"/>
      <c r="K223" s="349"/>
      <c r="L223" s="349"/>
      <c r="M223" s="370"/>
      <c r="N223" s="345"/>
    </row>
    <row r="224" spans="2:15" ht="15.75">
      <c r="B224" s="354" t="s">
        <v>118</v>
      </c>
      <c r="C224" s="355"/>
      <c r="D224" s="500"/>
      <c r="E224" s="349"/>
      <c r="F224" s="349"/>
      <c r="G224" s="349"/>
      <c r="H224" s="349"/>
      <c r="I224" s="349"/>
      <c r="J224" s="349"/>
      <c r="K224" s="349"/>
      <c r="L224" s="349"/>
      <c r="M224" s="370"/>
      <c r="N224" s="345"/>
      <c r="O224" s="345"/>
    </row>
    <row r="225" spans="2:16" ht="15.75" thickBot="1">
      <c r="B225" s="361" t="s">
        <v>119</v>
      </c>
      <c r="C225" s="362"/>
      <c r="D225" s="391" t="s">
        <v>223</v>
      </c>
      <c r="E225" s="365"/>
      <c r="F225" s="365"/>
      <c r="G225" s="365"/>
      <c r="H225" s="365"/>
      <c r="I225" s="365"/>
      <c r="J225" s="365"/>
      <c r="K225" s="345"/>
      <c r="M225" s="370"/>
      <c r="N225" s="345"/>
      <c r="O225" s="345"/>
      <c r="P225" s="357"/>
    </row>
    <row r="226" spans="2:16">
      <c r="B226" s="354">
        <f>+B213+1</f>
        <v>131</v>
      </c>
      <c r="C226" s="355"/>
      <c r="D226" s="365" t="s">
        <v>168</v>
      </c>
      <c r="E226" s="501" t="str">
        <f>"(ln "&amp;B68&amp;")"</f>
        <v>(ln 21)</v>
      </c>
      <c r="F226" s="502"/>
      <c r="H226" s="503"/>
      <c r="I226" s="503"/>
      <c r="J226" s="503"/>
      <c r="K226" s="503"/>
      <c r="L226" s="373">
        <f>+G68</f>
        <v>665626519.96384621</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1441">
        <f>'WS A - RB Support'!E62</f>
        <v>0</v>
      </c>
      <c r="M227" s="370"/>
      <c r="N227" s="345"/>
      <c r="P227" s="357"/>
    </row>
    <row r="228" spans="2:16" ht="15.75"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12201836.321538461</v>
      </c>
      <c r="M228" s="370"/>
      <c r="N228" s="345"/>
      <c r="P228" s="357"/>
    </row>
    <row r="229" spans="2:16">
      <c r="B229" s="354">
        <f>+B228+1</f>
        <v>134</v>
      </c>
      <c r="C229" s="355"/>
      <c r="D229" s="365" t="s">
        <v>224</v>
      </c>
      <c r="E229" s="507" t="str">
        <f>"(ln "&amp;B226&amp;" - ln "&amp;B227&amp;" - ln "&amp;B228&amp;")"</f>
        <v>(ln 131 - ln 132 - ln 133)</v>
      </c>
      <c r="F229" s="502"/>
      <c r="H229" s="503"/>
      <c r="I229" s="503"/>
      <c r="J229" s="415"/>
      <c r="K229" s="503"/>
      <c r="L229" s="373">
        <f>L226-L227-L228</f>
        <v>653424683.64230776</v>
      </c>
      <c r="M229" s="370"/>
      <c r="N229" s="345"/>
      <c r="P229" s="357"/>
    </row>
    <row r="230" spans="2:16">
      <c r="B230" s="354"/>
      <c r="C230" s="355"/>
      <c r="D230" s="345"/>
      <c r="E230" s="502"/>
      <c r="F230" s="502"/>
      <c r="G230" s="415"/>
      <c r="H230" s="503"/>
      <c r="I230" s="503"/>
      <c r="J230" s="415"/>
      <c r="K230" s="503"/>
      <c r="L230" s="504"/>
      <c r="M230" s="370"/>
      <c r="N230" s="345"/>
      <c r="P230" s="357"/>
    </row>
    <row r="231" spans="2:16" ht="15.75">
      <c r="B231" s="354">
        <f>+B229+1</f>
        <v>135</v>
      </c>
      <c r="C231" s="355"/>
      <c r="D231" s="365" t="s">
        <v>225</v>
      </c>
      <c r="E231" s="508" t="str">
        <f>"(ln "&amp;B229&amp;" / ln "&amp;B226&amp;")"</f>
        <v>(ln 134 / ln 131)</v>
      </c>
      <c r="F231" s="509"/>
      <c r="H231" s="510"/>
      <c r="I231" s="511"/>
      <c r="J231" s="511"/>
      <c r="K231" s="512" t="s">
        <v>145</v>
      </c>
      <c r="L231" s="513">
        <f>IF(L226&gt;0,L229/L226,0)</f>
        <v>0.98166864456932812</v>
      </c>
      <c r="M231" s="370"/>
      <c r="N231" s="345"/>
      <c r="P231" s="357"/>
    </row>
    <row r="232" spans="2:16" ht="15.75">
      <c r="B232" s="354"/>
      <c r="C232" s="355"/>
      <c r="D232" s="514"/>
      <c r="E232" s="365"/>
      <c r="F232" s="365"/>
      <c r="G232" s="515"/>
      <c r="H232" s="365"/>
      <c r="I232" s="380"/>
      <c r="J232" s="365"/>
      <c r="K232" s="365"/>
      <c r="L232" s="349"/>
      <c r="M232" s="370"/>
      <c r="N232" s="345"/>
    </row>
    <row r="233" spans="2:16" ht="45">
      <c r="B233" s="354">
        <f>B231+1</f>
        <v>136</v>
      </c>
      <c r="C233" s="380"/>
      <c r="D233" s="391" t="s">
        <v>42</v>
      </c>
      <c r="E233" s="374" t="s">
        <v>345</v>
      </c>
      <c r="F233" s="374" t="s">
        <v>186</v>
      </c>
      <c r="G233" s="516" t="s">
        <v>216</v>
      </c>
      <c r="H233" s="450" t="s">
        <v>120</v>
      </c>
      <c r="I233" s="383"/>
      <c r="J233" s="352"/>
      <c r="K233" s="352"/>
      <c r="L233" s="352"/>
      <c r="M233" s="370"/>
      <c r="N233" s="345"/>
    </row>
    <row r="234" spans="2:16">
      <c r="B234" s="354">
        <f t="shared" ref="B234:B239" si="11">+B233+1</f>
        <v>137</v>
      </c>
      <c r="C234" s="380"/>
      <c r="D234" s="391" t="s">
        <v>128</v>
      </c>
      <c r="E234" s="352" t="s">
        <v>433</v>
      </c>
      <c r="F234" s="1441">
        <v>13340500</v>
      </c>
      <c r="G234" s="1441">
        <v>7668238</v>
      </c>
      <c r="H234" s="417">
        <f>+F234+G234</f>
        <v>21008738</v>
      </c>
      <c r="I234" s="383" t="s">
        <v>129</v>
      </c>
      <c r="J234" s="375">
        <v>0</v>
      </c>
      <c r="K234" s="517"/>
      <c r="L234" s="435">
        <f>(F234+G234)*J234</f>
        <v>0</v>
      </c>
      <c r="M234" s="370"/>
      <c r="N234" s="345"/>
    </row>
    <row r="235" spans="2:16">
      <c r="B235" s="354">
        <f t="shared" si="11"/>
        <v>138</v>
      </c>
      <c r="C235" s="380"/>
      <c r="D235" s="423" t="s">
        <v>130</v>
      </c>
      <c r="E235" s="370" t="s">
        <v>12</v>
      </c>
      <c r="F235" s="1441">
        <v>6370</v>
      </c>
      <c r="G235" s="1441">
        <v>3296770</v>
      </c>
      <c r="H235" s="417">
        <f>+F235+G235</f>
        <v>3303140</v>
      </c>
      <c r="I235" s="380" t="s">
        <v>122</v>
      </c>
      <c r="J235" s="375">
        <f>L231</f>
        <v>0.98166864456932812</v>
      </c>
      <c r="K235" s="517"/>
      <c r="L235" s="435">
        <f>(F235+G235)*J235</f>
        <v>3242588.9666227303</v>
      </c>
      <c r="M235" s="370"/>
      <c r="N235" s="345"/>
    </row>
    <row r="236" spans="2:16">
      <c r="B236" s="354">
        <f t="shared" si="11"/>
        <v>139</v>
      </c>
      <c r="C236" s="380"/>
      <c r="D236" s="423" t="s">
        <v>228</v>
      </c>
      <c r="E236" s="352" t="s">
        <v>468</v>
      </c>
      <c r="F236" s="1441">
        <v>0</v>
      </c>
      <c r="G236" s="1441">
        <v>0</v>
      </c>
      <c r="H236" s="417">
        <f>+F236+G236</f>
        <v>0</v>
      </c>
      <c r="I236" s="383" t="s">
        <v>129</v>
      </c>
      <c r="J236" s="375">
        <v>0</v>
      </c>
      <c r="K236" s="517"/>
      <c r="L236" s="435">
        <f>(F236+G236)*J236</f>
        <v>0</v>
      </c>
      <c r="M236" s="370"/>
      <c r="N236" s="345"/>
    </row>
    <row r="237" spans="2:16">
      <c r="B237" s="354">
        <f t="shared" si="11"/>
        <v>140</v>
      </c>
      <c r="C237" s="380"/>
      <c r="D237" s="423" t="s">
        <v>132</v>
      </c>
      <c r="E237" s="352" t="s">
        <v>431</v>
      </c>
      <c r="F237" s="1441">
        <v>8552816</v>
      </c>
      <c r="G237" s="1441">
        <v>1043969</v>
      </c>
      <c r="H237" s="417">
        <f>+F237+G237</f>
        <v>9596785</v>
      </c>
      <c r="I237" s="383" t="s">
        <v>129</v>
      </c>
      <c r="J237" s="375">
        <v>0</v>
      </c>
      <c r="K237" s="517"/>
      <c r="L237" s="435">
        <f>(F237+G237)*J237</f>
        <v>0</v>
      </c>
      <c r="M237" s="370"/>
      <c r="N237" s="345"/>
    </row>
    <row r="238" spans="2:16" ht="15.75" thickBot="1">
      <c r="B238" s="354">
        <f t="shared" si="11"/>
        <v>141</v>
      </c>
      <c r="C238" s="380"/>
      <c r="D238" s="423" t="s">
        <v>203</v>
      </c>
      <c r="E238" s="352" t="s">
        <v>432</v>
      </c>
      <c r="F238" s="1442">
        <v>1530156</v>
      </c>
      <c r="G238" s="1442">
        <v>1839504</v>
      </c>
      <c r="H238" s="518">
        <f>+F238+G238</f>
        <v>3369660</v>
      </c>
      <c r="I238" s="383" t="s">
        <v>129</v>
      </c>
      <c r="J238" s="375">
        <v>0</v>
      </c>
      <c r="K238" s="517"/>
      <c r="L238" s="445">
        <f>(F238+G238)*J238</f>
        <v>0</v>
      </c>
      <c r="M238" s="370"/>
      <c r="N238" s="345"/>
    </row>
    <row r="239" spans="2:16" ht="15.75">
      <c r="B239" s="354">
        <f t="shared" si="11"/>
        <v>142</v>
      </c>
      <c r="C239" s="380"/>
      <c r="D239" s="423" t="s">
        <v>120</v>
      </c>
      <c r="E239" s="423" t="str">
        <f>"(sum lns "&amp;B234&amp;" to "&amp;B238&amp;")"</f>
        <v>(sum lns 137 to 141)</v>
      </c>
      <c r="F239" s="370">
        <f>SUM(F234:F238)</f>
        <v>23429842</v>
      </c>
      <c r="G239" s="370">
        <f>SUM(G234:G238)</f>
        <v>13848481</v>
      </c>
      <c r="H239" s="370">
        <f>SUM(H234:H238)</f>
        <v>37278323</v>
      </c>
      <c r="I239" s="383"/>
      <c r="J239" s="352"/>
      <c r="K239" s="352"/>
      <c r="L239" s="435">
        <f>SUM(L234:L238)</f>
        <v>3242588.9666227303</v>
      </c>
      <c r="M239" s="519"/>
      <c r="N239" s="345"/>
    </row>
    <row r="240" spans="2:16">
      <c r="B240" s="354"/>
      <c r="C240" s="380"/>
      <c r="D240" s="423" t="s">
        <v>116</v>
      </c>
      <c r="E240" s="370" t="s">
        <v>116</v>
      </c>
      <c r="F240" s="370"/>
      <c r="G240" s="345"/>
      <c r="H240" s="370"/>
      <c r="I240" s="449"/>
      <c r="M240" s="345"/>
      <c r="N240" s="345"/>
    </row>
    <row r="241" spans="2:21" ht="15.75">
      <c r="B241" s="354">
        <f>B239+1</f>
        <v>143</v>
      </c>
      <c r="C241" s="355"/>
      <c r="D241" s="416" t="s">
        <v>43</v>
      </c>
      <c r="E241" s="370"/>
      <c r="F241" s="370"/>
      <c r="G241" s="370"/>
      <c r="H241" s="370"/>
      <c r="I241" s="449"/>
      <c r="K241" s="520" t="s">
        <v>44</v>
      </c>
      <c r="L241" s="521">
        <f>L239/(F239+G239)</f>
        <v>8.698323061964805E-2</v>
      </c>
      <c r="M241" s="345"/>
      <c r="N241" s="345"/>
    </row>
    <row r="242" spans="2:21">
      <c r="B242" s="354"/>
      <c r="C242" s="355"/>
      <c r="D242" s="416"/>
      <c r="E242" s="370"/>
      <c r="F242" s="370"/>
      <c r="G242" s="370"/>
      <c r="H242" s="370"/>
      <c r="I242" s="383"/>
      <c r="J242" s="352"/>
      <c r="K242" s="352"/>
      <c r="L242" s="352"/>
      <c r="M242" s="370"/>
      <c r="N242" s="345"/>
    </row>
    <row r="243" spans="2:21" ht="15.75">
      <c r="B243" s="354"/>
      <c r="C243" s="355"/>
      <c r="D243" s="416"/>
      <c r="E243" s="499"/>
      <c r="F243" s="352"/>
      <c r="H243" s="352"/>
      <c r="I243" s="352"/>
      <c r="J243" s="352"/>
      <c r="K243" s="414"/>
      <c r="L243" s="522"/>
      <c r="M243" s="370"/>
      <c r="N243" s="345"/>
    </row>
    <row r="244" spans="2:21" ht="15.75" thickBot="1">
      <c r="B244" s="354">
        <f>+B241+1</f>
        <v>144</v>
      </c>
      <c r="C244" s="380"/>
      <c r="D244" s="423" t="s">
        <v>200</v>
      </c>
      <c r="E244" s="370"/>
      <c r="F244" s="370"/>
      <c r="G244" s="370"/>
      <c r="H244" s="370"/>
      <c r="I244" s="370"/>
      <c r="J244" s="370"/>
      <c r="K244" s="370"/>
      <c r="L244" s="523" t="s">
        <v>146</v>
      </c>
      <c r="M244" s="370"/>
      <c r="N244" s="345"/>
    </row>
    <row r="245" spans="2:21">
      <c r="B245" s="354">
        <f t="shared" ref="B245:B252" si="12">+B244+1</f>
        <v>145</v>
      </c>
      <c r="C245" s="380"/>
      <c r="D245" s="370" t="s">
        <v>221</v>
      </c>
      <c r="E245" s="345" t="str">
        <f>"(Worksheet M, ln. "&amp;'WS M - Cost of Capital'!A56&amp;", col. "&amp;'WS M - Cost of Capital'!E47&amp;")"</f>
        <v>(Worksheet M, ln. 37, col. (d))</v>
      </c>
      <c r="F245" s="370"/>
      <c r="G245" s="370"/>
      <c r="H245" s="370"/>
      <c r="I245" s="370"/>
      <c r="J245" s="370"/>
      <c r="K245" s="370"/>
      <c r="L245" s="388">
        <f>'WS M - Cost of Capital'!E56</f>
        <v>38725653</v>
      </c>
      <c r="M245" s="370"/>
      <c r="N245" s="345"/>
    </row>
    <row r="246" spans="2:21">
      <c r="B246" s="354">
        <f t="shared" si="12"/>
        <v>146</v>
      </c>
      <c r="C246" s="380"/>
      <c r="D246" s="370" t="s">
        <v>222</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244</v>
      </c>
      <c r="E247" s="370"/>
      <c r="F247" s="370"/>
      <c r="G247" s="370"/>
      <c r="H247" s="439"/>
      <c r="I247" s="370"/>
      <c r="J247" s="370"/>
      <c r="K247" s="370"/>
      <c r="L247" s="388"/>
      <c r="M247" s="370"/>
      <c r="N247" s="345"/>
    </row>
    <row r="248" spans="2:21">
      <c r="B248" s="354">
        <f t="shared" si="12"/>
        <v>148</v>
      </c>
      <c r="C248" s="380"/>
      <c r="D248" s="370" t="s">
        <v>245</v>
      </c>
      <c r="E248" s="551" t="str">
        <f>"(Worksheet M, ln. "&amp;'WS M - Cost of Capital'!A23&amp;", col. "&amp;'WS M - Cost of Capital'!C8&amp;")"</f>
        <v>(Worksheet M, ln. 14, col. (b))</v>
      </c>
      <c r="F248" s="370"/>
      <c r="G248" s="365"/>
      <c r="H248" s="441"/>
      <c r="I248" s="370"/>
      <c r="J248" s="370"/>
      <c r="K248" s="370"/>
      <c r="L248" s="388">
        <f>'WS M - Cost of Capital'!C23</f>
        <v>802786473.50792301</v>
      </c>
      <c r="M248" s="370"/>
      <c r="N248" s="345"/>
    </row>
    <row r="249" spans="2:21">
      <c r="B249" s="354">
        <f t="shared" si="12"/>
        <v>149</v>
      </c>
      <c r="C249" s="380"/>
      <c r="D249" s="370" t="s">
        <v>370</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363</v>
      </c>
      <c r="E250" s="551" t="str">
        <f>"(Worksheet M, ln. "&amp;'WS M - Cost of Capital'!A23&amp;", col. "&amp;'WS M - Cost of Capital'!E8&amp;")"</f>
        <v>(Worksheet M, ln. 14, col. (d))</v>
      </c>
      <c r="F250" s="370"/>
      <c r="G250" s="370"/>
      <c r="H250" s="441"/>
      <c r="I250" s="370"/>
      <c r="J250" s="370"/>
      <c r="K250" s="370"/>
      <c r="L250" s="417">
        <f>'WS M - Cost of Capital'!E23</f>
        <v>0</v>
      </c>
      <c r="M250" s="370"/>
      <c r="N250" s="345"/>
    </row>
    <row r="251" spans="2:21" ht="15.75" thickBot="1">
      <c r="B251" s="354">
        <f t="shared" si="12"/>
        <v>151</v>
      </c>
      <c r="C251" s="380"/>
      <c r="D251" s="370" t="s">
        <v>369</v>
      </c>
      <c r="E251" s="551" t="str">
        <f>"(Worksheet M, ln. "&amp;'WS M - Cost of Capital'!A23&amp;", col. "&amp;'WS M - Cost of Capital'!F8&amp;")"</f>
        <v>(Worksheet M, ln. 14, col. (e))</v>
      </c>
      <c r="F251" s="370"/>
      <c r="G251" s="370"/>
      <c r="H251" s="441"/>
      <c r="I251" s="370"/>
      <c r="J251" s="442"/>
      <c r="K251" s="370"/>
      <c r="L251" s="518">
        <f>'WS M - Cost of Capital'!F23</f>
        <v>759656.15692307684</v>
      </c>
      <c r="M251" s="370"/>
      <c r="N251" s="345"/>
    </row>
    <row r="252" spans="2:21">
      <c r="B252" s="354">
        <f t="shared" si="12"/>
        <v>152</v>
      </c>
      <c r="C252" s="380"/>
      <c r="D252" s="340" t="s">
        <v>246</v>
      </c>
      <c r="E252" s="370" t="str">
        <f>"(ln "&amp;B248&amp;" - ln "&amp;B249&amp;" - ln "&amp;B250&amp;" - ln "&amp;B251&amp;")"</f>
        <v>(ln 148 - ln 149 - ln 150 - ln 151)</v>
      </c>
      <c r="F252" s="525"/>
      <c r="G252" s="345"/>
      <c r="H252" s="365"/>
      <c r="I252" s="365"/>
      <c r="J252" s="365"/>
      <c r="K252" s="365"/>
      <c r="L252" s="388">
        <f>+L248-L249-L250-L251</f>
        <v>802026817.35099995</v>
      </c>
      <c r="M252" s="352"/>
    </row>
    <row r="253" spans="2:21" ht="15.75">
      <c r="B253" s="354"/>
      <c r="C253" s="380"/>
      <c r="D253" s="423"/>
      <c r="E253" s="370"/>
      <c r="F253" s="370"/>
      <c r="G253" s="1468" t="s">
        <v>929</v>
      </c>
      <c r="H253" s="1468"/>
      <c r="I253" s="1468"/>
      <c r="J253" s="527" t="s">
        <v>147</v>
      </c>
      <c r="K253" s="370"/>
      <c r="L253" s="370"/>
      <c r="M253" s="352"/>
    </row>
    <row r="254" spans="2:21" ht="15.75" thickBot="1">
      <c r="B254" s="354">
        <f>+B252+1</f>
        <v>153</v>
      </c>
      <c r="C254" s="380"/>
      <c r="D254" s="423"/>
      <c r="F254" s="370"/>
      <c r="G254" s="528" t="s">
        <v>146</v>
      </c>
      <c r="H254" s="528" t="s">
        <v>148</v>
      </c>
      <c r="I254" s="523" t="s">
        <v>928</v>
      </c>
      <c r="J254" s="529" t="s">
        <v>429</v>
      </c>
      <c r="K254" s="370"/>
      <c r="L254" s="528" t="s">
        <v>149</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966153846.15384614</v>
      </c>
      <c r="H255" s="530">
        <f>IF($G$258&gt;0,G255/$G$258,0)</f>
        <v>0.54641127238591036</v>
      </c>
      <c r="I255" s="530">
        <f>IF(H257&gt;E260,1-I256-I257,H255)</f>
        <v>0.54641127238591036</v>
      </c>
      <c r="J255" s="442">
        <f>'WS M - Cost of Capital'!E58</f>
        <v>4.0082284156050953E-2</v>
      </c>
      <c r="K255" s="345"/>
      <c r="L255" s="532">
        <f>I255*J255</f>
        <v>2.1901411885841417E-2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I256*J256</f>
        <v>0</v>
      </c>
      <c r="M256" s="352"/>
    </row>
    <row r="257" spans="2:21" ht="15.75" thickBot="1">
      <c r="B257" s="354">
        <f>+B256+1</f>
        <v>156</v>
      </c>
      <c r="C257" s="380"/>
      <c r="D257" s="423" t="str">
        <f>"  Common Stock (ln "&amp;B252&amp;")"</f>
        <v xml:space="preserve">  Common Stock (ln 152)</v>
      </c>
      <c r="F257" s="345"/>
      <c r="G257" s="424">
        <f>+L252</f>
        <v>802026817.35099995</v>
      </c>
      <c r="H257" s="530">
        <f>IF($G$258&gt;0,G257/$G$258,0)</f>
        <v>0.45358872761408964</v>
      </c>
      <c r="I257" s="530">
        <f>IF(H257&gt;E260,E260,H257)</f>
        <v>0.45358872761408964</v>
      </c>
      <c r="J257" s="1443">
        <v>0.10349999999999999</v>
      </c>
      <c r="K257" s="345"/>
      <c r="L257" s="535">
        <f>I257*J257</f>
        <v>4.6946433308058276E-2</v>
      </c>
      <c r="M257" s="352"/>
    </row>
    <row r="258" spans="2:21" ht="15.75">
      <c r="B258" s="354">
        <f>+B257+1</f>
        <v>157</v>
      </c>
      <c r="C258" s="380"/>
      <c r="D258" s="423" t="str">
        <f>" Total (Sum lns "&amp;B255&amp;" to "&amp;B257&amp;")"</f>
        <v xml:space="preserve"> Total (Sum lns 154 to 156)</v>
      </c>
      <c r="F258" s="345"/>
      <c r="G258" s="388">
        <f>G257+G256+G255</f>
        <v>1768180663.5048461</v>
      </c>
      <c r="I258" s="526"/>
      <c r="J258" s="536"/>
      <c r="K258" s="437" t="s">
        <v>25</v>
      </c>
      <c r="L258" s="537">
        <f>SUM(L255:L257)</f>
        <v>6.8847845193899693E-2</v>
      </c>
      <c r="M258" s="538"/>
    </row>
    <row r="259" spans="2:21" ht="15.75">
      <c r="B259" s="354"/>
      <c r="C259" s="380"/>
      <c r="D259" s="423"/>
      <c r="F259" s="345"/>
      <c r="G259" s="388"/>
      <c r="I259" s="526"/>
      <c r="J259" s="536"/>
      <c r="K259" s="437"/>
      <c r="L259" s="537"/>
      <c r="M259" s="538"/>
    </row>
    <row r="260" spans="2:21" ht="15.75">
      <c r="B260" s="379">
        <f>B258+1</f>
        <v>158</v>
      </c>
      <c r="C260" s="545"/>
      <c r="D260" s="545" t="s">
        <v>927</v>
      </c>
      <c r="E260" s="1318">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ht="15.75">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ht="15.75">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ht="15.75">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ht="15.75">
      <c r="B266" s="354"/>
      <c r="C266" s="355"/>
      <c r="D266" s="540"/>
      <c r="E266" s="455"/>
      <c r="F266" s="449" t="str">
        <f>F220</f>
        <v>KENTUCKY POWER COMPANY</v>
      </c>
      <c r="G266" s="352"/>
      <c r="H266" s="352"/>
      <c r="I266" s="352"/>
      <c r="J266" s="352"/>
      <c r="K266" s="349"/>
      <c r="L266" s="368"/>
      <c r="M266" s="345"/>
      <c r="N266" s="365"/>
      <c r="O266" s="365"/>
      <c r="P266" s="365"/>
      <c r="Q266" s="365"/>
      <c r="R266" s="365"/>
      <c r="S266" s="365"/>
      <c r="T266" s="365"/>
      <c r="U266" s="365"/>
    </row>
    <row r="267" spans="2:21" ht="15.75">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ht="15.75">
      <c r="B268" s="541" t="s">
        <v>178</v>
      </c>
      <c r="C268" s="362"/>
      <c r="D268" s="391"/>
      <c r="E268" s="365"/>
      <c r="F268" s="541" t="s">
        <v>177</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150</v>
      </c>
      <c r="C273" s="362"/>
      <c r="D273" s="391" t="s">
        <v>479</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371</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372</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480</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481</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373</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374</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470" t="s">
        <v>577</v>
      </c>
      <c r="E280" s="1470"/>
      <c r="F280" s="1470"/>
      <c r="G280" s="1470"/>
      <c r="H280" s="1470"/>
      <c r="I280" s="1470"/>
      <c r="J280" s="1470"/>
      <c r="K280" s="1470"/>
      <c r="L280" s="1470"/>
      <c r="M280" s="365"/>
      <c r="N280" s="365"/>
      <c r="O280" s="365"/>
      <c r="P280" s="365"/>
      <c r="Q280" s="365"/>
      <c r="R280" s="365"/>
      <c r="S280" s="365"/>
      <c r="T280" s="365"/>
      <c r="U280" s="365"/>
    </row>
    <row r="281" spans="2:21">
      <c r="B281" s="379"/>
      <c r="C281" s="380"/>
      <c r="D281" s="391" t="s">
        <v>489</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151</v>
      </c>
      <c r="C283" s="380"/>
      <c r="D283" s="1475" t="s">
        <v>596</v>
      </c>
      <c r="E283" s="1476"/>
      <c r="F283" s="1476"/>
      <c r="G283" s="1476"/>
      <c r="H283" s="1476"/>
      <c r="I283" s="1476"/>
      <c r="J283" s="1476"/>
      <c r="K283" s="1476"/>
      <c r="L283" s="391"/>
      <c r="M283" s="365"/>
      <c r="N283" s="365"/>
      <c r="O283" s="365"/>
      <c r="P283" s="365"/>
      <c r="Q283" s="365"/>
      <c r="R283" s="365"/>
      <c r="S283" s="365"/>
      <c r="T283" s="365"/>
      <c r="U283" s="365"/>
    </row>
    <row r="284" spans="2:21">
      <c r="B284" s="379"/>
      <c r="C284" s="380"/>
      <c r="D284" s="1476"/>
      <c r="E284" s="1476"/>
      <c r="F284" s="1476"/>
      <c r="G284" s="1476"/>
      <c r="H284" s="1476"/>
      <c r="I284" s="1476"/>
      <c r="J284" s="1476"/>
      <c r="K284" s="1476"/>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152</v>
      </c>
      <c r="C286" s="380"/>
      <c r="D286" s="546" t="s">
        <v>874</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153</v>
      </c>
      <c r="C288" s="380"/>
      <c r="D288" s="1470" t="s">
        <v>579</v>
      </c>
      <c r="E288" s="1470"/>
      <c r="F288" s="1470"/>
      <c r="G288" s="1470"/>
      <c r="H288" s="1470"/>
      <c r="I288" s="1470"/>
      <c r="J288" s="1470"/>
      <c r="K288" s="1470"/>
      <c r="L288" s="1470"/>
      <c r="M288" s="365"/>
      <c r="N288" s="365"/>
      <c r="O288" s="365"/>
      <c r="P288" s="391"/>
      <c r="Q288" s="391"/>
      <c r="R288" s="365"/>
      <c r="S288" s="365"/>
      <c r="T288" s="365"/>
      <c r="U288" s="365"/>
    </row>
    <row r="289" spans="2:21">
      <c r="B289" s="379"/>
      <c r="C289" s="380"/>
      <c r="D289" s="1470"/>
      <c r="E289" s="1470"/>
      <c r="F289" s="1470"/>
      <c r="G289" s="1470"/>
      <c r="H289" s="1470"/>
      <c r="I289" s="1470"/>
      <c r="J289" s="1470"/>
      <c r="K289" s="1470"/>
      <c r="L289" s="1470"/>
      <c r="M289" s="365"/>
      <c r="N289" s="365"/>
      <c r="O289" s="365"/>
      <c r="P289" s="391"/>
      <c r="Q289" s="391"/>
      <c r="R289" s="365"/>
      <c r="S289" s="365"/>
      <c r="T289" s="365"/>
      <c r="U289" s="365"/>
    </row>
    <row r="290" spans="2:21">
      <c r="B290" s="379"/>
      <c r="C290" s="380"/>
      <c r="D290" s="391" t="s">
        <v>580</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581</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470" t="s">
        <v>578</v>
      </c>
      <c r="E292" s="1470"/>
      <c r="F292" s="1470"/>
      <c r="G292" s="1470"/>
      <c r="H292" s="1470"/>
      <c r="I292" s="1470"/>
      <c r="J292" s="1470"/>
      <c r="K292" s="1470"/>
      <c r="L292" s="1470"/>
      <c r="M292" s="365"/>
      <c r="N292" s="365"/>
      <c r="O292" s="365"/>
      <c r="P292" s="391"/>
      <c r="Q292" s="365"/>
      <c r="R292" s="365"/>
      <c r="S292" s="365"/>
      <c r="T292" s="365"/>
      <c r="U292" s="365"/>
    </row>
    <row r="293" spans="2:21" ht="21.75" customHeight="1">
      <c r="B293" s="379" t="s">
        <v>154</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155</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220</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156</v>
      </c>
      <c r="C303" s="345"/>
      <c r="D303" s="148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85"/>
      <c r="F303" s="1485"/>
      <c r="G303" s="1485"/>
      <c r="H303" s="1485"/>
      <c r="I303" s="1485"/>
      <c r="J303" s="1485"/>
      <c r="K303" s="1485"/>
      <c r="L303" s="551"/>
      <c r="M303" s="345"/>
      <c r="N303" s="365"/>
      <c r="O303" s="365"/>
      <c r="P303" s="365"/>
      <c r="Q303" s="365"/>
      <c r="R303" s="365"/>
      <c r="S303" s="365"/>
      <c r="T303" s="365"/>
      <c r="U303" s="365"/>
    </row>
    <row r="304" spans="2:21">
      <c r="B304" s="542"/>
      <c r="C304" s="345"/>
      <c r="D304" s="1485"/>
      <c r="E304" s="1485"/>
      <c r="F304" s="1485"/>
      <c r="G304" s="1485"/>
      <c r="H304" s="1485"/>
      <c r="I304" s="1485"/>
      <c r="J304" s="1485"/>
      <c r="K304" s="1485"/>
      <c r="L304" s="551"/>
      <c r="M304" s="345"/>
      <c r="N304" s="365"/>
      <c r="O304" s="365"/>
      <c r="P304" s="365"/>
      <c r="Q304" s="365"/>
      <c r="R304" s="365"/>
      <c r="S304" s="365"/>
      <c r="T304" s="365"/>
      <c r="U304" s="365"/>
    </row>
    <row r="305" spans="2:21">
      <c r="B305" s="542"/>
      <c r="C305" s="345"/>
      <c r="D305" s="1485"/>
      <c r="E305" s="1485"/>
      <c r="F305" s="1485"/>
      <c r="G305" s="1485"/>
      <c r="H305" s="1485"/>
      <c r="I305" s="1485"/>
      <c r="J305" s="1485"/>
      <c r="K305" s="1485"/>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157</v>
      </c>
      <c r="C307" s="345"/>
      <c r="D307" s="147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73"/>
      <c r="F307" s="1473"/>
      <c r="G307" s="1473"/>
      <c r="H307" s="1473"/>
      <c r="I307" s="1473"/>
      <c r="J307" s="1473"/>
      <c r="K307" s="1473"/>
      <c r="L307" s="551"/>
      <c r="M307" s="345"/>
      <c r="N307" s="365"/>
      <c r="O307" s="365"/>
      <c r="P307" s="365"/>
      <c r="Q307" s="365"/>
      <c r="R307" s="365"/>
      <c r="S307" s="365"/>
      <c r="T307" s="365"/>
      <c r="U307" s="365"/>
    </row>
    <row r="308" spans="2:21">
      <c r="B308" s="542"/>
      <c r="C308" s="345"/>
      <c r="D308" s="1473"/>
      <c r="E308" s="1473"/>
      <c r="F308" s="1473"/>
      <c r="G308" s="1473"/>
      <c r="H308" s="1473"/>
      <c r="I308" s="1473"/>
      <c r="J308" s="1473"/>
      <c r="K308" s="1473"/>
      <c r="L308" s="551"/>
      <c r="M308" s="345"/>
      <c r="N308" s="365"/>
      <c r="O308" s="365"/>
      <c r="P308" s="365"/>
      <c r="Q308" s="365"/>
      <c r="R308" s="365"/>
      <c r="S308" s="365"/>
      <c r="T308" s="365"/>
      <c r="U308" s="365"/>
    </row>
    <row r="309" spans="2:21">
      <c r="B309" s="542"/>
      <c r="C309" s="345"/>
      <c r="D309" s="1474"/>
      <c r="E309" s="1474"/>
      <c r="F309" s="1474"/>
      <c r="G309" s="1474"/>
      <c r="H309" s="1474"/>
      <c r="I309" s="1474"/>
      <c r="J309" s="1474"/>
      <c r="K309" s="1474"/>
      <c r="L309" s="551"/>
      <c r="M309" s="345"/>
      <c r="N309" s="365"/>
      <c r="O309" s="365"/>
      <c r="P309" s="365"/>
      <c r="Q309" s="365"/>
      <c r="R309" s="365"/>
      <c r="S309" s="365"/>
      <c r="T309" s="365"/>
      <c r="U309" s="365"/>
    </row>
    <row r="310" spans="2:21">
      <c r="B310" s="542"/>
      <c r="C310" s="345"/>
      <c r="D310" s="147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79"/>
      <c r="F310" s="1479"/>
      <c r="G310" s="1479"/>
      <c r="H310" s="1479"/>
      <c r="I310" s="1479"/>
      <c r="J310" s="1479"/>
      <c r="K310" s="552"/>
      <c r="L310" s="551"/>
      <c r="M310" s="345"/>
      <c r="N310" s="365"/>
      <c r="O310" s="365"/>
      <c r="P310" s="365"/>
      <c r="Q310" s="365"/>
      <c r="R310" s="365"/>
      <c r="S310" s="365"/>
      <c r="T310" s="365"/>
      <c r="U310" s="365"/>
    </row>
    <row r="311" spans="2:21">
      <c r="B311" s="542"/>
      <c r="C311" s="345"/>
      <c r="D311" s="1479"/>
      <c r="E311" s="1479"/>
      <c r="F311" s="1479"/>
      <c r="G311" s="1479"/>
      <c r="H311" s="1479"/>
      <c r="I311" s="1479"/>
      <c r="J311" s="1479"/>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KENTUCKY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158</v>
      </c>
      <c r="C314" s="345"/>
      <c r="D314" s="345" t="s">
        <v>582</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159</v>
      </c>
      <c r="C316" s="345"/>
      <c r="D316" s="1483" t="s">
        <v>49</v>
      </c>
      <c r="E316" s="1476"/>
      <c r="F316" s="1476"/>
      <c r="G316" s="1476"/>
      <c r="H316" s="1476"/>
      <c r="I316" s="1476"/>
      <c r="J316" s="1476"/>
      <c r="K316" s="551"/>
      <c r="L316" s="551"/>
      <c r="M316" s="345"/>
      <c r="N316" s="365"/>
      <c r="O316" s="365"/>
      <c r="P316" s="365"/>
      <c r="Q316" s="365"/>
      <c r="R316" s="365"/>
      <c r="S316" s="365"/>
      <c r="T316" s="365"/>
      <c r="U316" s="365"/>
    </row>
    <row r="317" spans="2:21">
      <c r="B317" s="542"/>
      <c r="C317" s="345"/>
      <c r="D317" s="1484"/>
      <c r="E317" s="1484"/>
      <c r="F317" s="1484"/>
      <c r="G317" s="1484"/>
      <c r="H317" s="1484"/>
      <c r="I317" s="1484"/>
      <c r="J317" s="1484"/>
      <c r="K317" s="554"/>
      <c r="L317" s="554"/>
      <c r="M317" s="345"/>
      <c r="N317" s="365"/>
      <c r="O317" s="365"/>
      <c r="P317" s="365"/>
      <c r="Q317" s="365"/>
      <c r="R317" s="365"/>
      <c r="S317" s="365"/>
      <c r="T317" s="365"/>
      <c r="U317" s="365"/>
    </row>
    <row r="318" spans="2:21">
      <c r="B318" s="542"/>
      <c r="C318" s="345"/>
      <c r="D318" s="1476"/>
      <c r="E318" s="1476"/>
      <c r="F318" s="1476"/>
      <c r="G318" s="1476"/>
      <c r="H318" s="1476"/>
      <c r="I318" s="1476"/>
      <c r="J318" s="1476"/>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ht="15.75">
      <c r="B320" s="1145" t="s">
        <v>160</v>
      </c>
      <c r="C320" s="1146"/>
      <c r="D320" s="1477" t="s">
        <v>869</v>
      </c>
      <c r="E320" s="1478"/>
      <c r="F320" s="1478"/>
      <c r="G320" s="1478"/>
      <c r="H320" s="1478"/>
      <c r="I320" s="1478"/>
      <c r="J320" s="1478"/>
      <c r="K320" s="1478"/>
      <c r="L320" s="554"/>
      <c r="M320" s="345"/>
      <c r="N320" s="365"/>
      <c r="O320" s="365"/>
      <c r="P320" s="365"/>
      <c r="Q320" s="365"/>
      <c r="R320" s="365"/>
      <c r="S320" s="365"/>
      <c r="T320" s="365"/>
      <c r="U320" s="365"/>
    </row>
    <row r="321" spans="2:21" ht="15.75">
      <c r="B321" s="1113"/>
      <c r="C321" s="1146"/>
      <c r="D321" s="1478"/>
      <c r="E321" s="1478"/>
      <c r="F321" s="1478"/>
      <c r="G321" s="1478"/>
      <c r="H321" s="1478"/>
      <c r="I321" s="1478"/>
      <c r="J321" s="1478"/>
      <c r="K321" s="1478"/>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161</v>
      </c>
      <c r="C323" s="380"/>
      <c r="D323" s="1470" t="s">
        <v>583</v>
      </c>
      <c r="E323" s="1470"/>
      <c r="F323" s="1470"/>
      <c r="G323" s="1470"/>
      <c r="H323" s="1470"/>
      <c r="I323" s="1470"/>
      <c r="J323" s="1470"/>
      <c r="K323" s="1470"/>
      <c r="L323" s="1470"/>
      <c r="M323" s="345"/>
      <c r="N323" s="365"/>
      <c r="O323" s="365"/>
      <c r="P323" s="365"/>
      <c r="Q323" s="365"/>
      <c r="R323" s="365"/>
      <c r="S323" s="365"/>
      <c r="T323" s="365"/>
      <c r="U323" s="365"/>
    </row>
    <row r="324" spans="2:21">
      <c r="B324" s="379"/>
      <c r="C324" s="380"/>
      <c r="D324" s="1470"/>
      <c r="E324" s="1470"/>
      <c r="F324" s="1470"/>
      <c r="G324" s="1470"/>
      <c r="H324" s="1470"/>
      <c r="I324" s="1470"/>
      <c r="J324" s="1470"/>
      <c r="K324" s="1470"/>
      <c r="L324" s="1470"/>
      <c r="M324" s="345"/>
      <c r="N324" s="365"/>
      <c r="O324" s="365"/>
      <c r="P324" s="365"/>
      <c r="Q324" s="365"/>
      <c r="R324" s="365"/>
      <c r="S324" s="365"/>
      <c r="T324" s="365"/>
      <c r="U324" s="365"/>
    </row>
    <row r="325" spans="2:21">
      <c r="B325" s="379"/>
      <c r="C325" s="380"/>
      <c r="D325" s="1470"/>
      <c r="E325" s="1470"/>
      <c r="F325" s="1470"/>
      <c r="G325" s="1470"/>
      <c r="H325" s="1470"/>
      <c r="I325" s="1470"/>
      <c r="J325" s="1470"/>
      <c r="K325" s="1470"/>
      <c r="L325" s="1470"/>
      <c r="M325" s="345"/>
      <c r="N325" s="365"/>
      <c r="O325" s="365"/>
      <c r="P325" s="365"/>
      <c r="Q325" s="365"/>
      <c r="R325" s="365"/>
      <c r="S325" s="365"/>
      <c r="T325" s="365"/>
      <c r="U325" s="365"/>
    </row>
    <row r="326" spans="2:21">
      <c r="B326" s="379"/>
      <c r="C326" s="380"/>
      <c r="D326" s="1470"/>
      <c r="E326" s="1470"/>
      <c r="F326" s="1470"/>
      <c r="G326" s="1470"/>
      <c r="H326" s="1470"/>
      <c r="I326" s="1470"/>
      <c r="J326" s="1470"/>
      <c r="K326" s="1470"/>
      <c r="L326" s="1470"/>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162</v>
      </c>
      <c r="C328" s="380"/>
      <c r="D328" s="1480" t="s">
        <v>866</v>
      </c>
      <c r="E328" s="1481"/>
      <c r="F328" s="1481"/>
      <c r="G328" s="1481"/>
      <c r="H328" s="1481"/>
      <c r="I328" s="1481"/>
      <c r="J328" s="1481"/>
      <c r="K328" s="1481"/>
      <c r="L328" s="1482"/>
      <c r="M328" s="345"/>
      <c r="N328" s="365"/>
      <c r="O328" s="365"/>
      <c r="P328" s="365"/>
      <c r="Q328" s="365"/>
      <c r="R328" s="365"/>
      <c r="S328" s="365"/>
      <c r="T328" s="365"/>
      <c r="U328" s="365"/>
    </row>
    <row r="329" spans="2:21">
      <c r="B329" s="379"/>
      <c r="C329" s="380"/>
      <c r="D329" s="1481"/>
      <c r="E329" s="1481"/>
      <c r="F329" s="1481"/>
      <c r="G329" s="1481"/>
      <c r="H329" s="1481"/>
      <c r="I329" s="1481"/>
      <c r="J329" s="1481"/>
      <c r="K329" s="1481"/>
      <c r="L329" s="1482"/>
      <c r="M329" s="345"/>
      <c r="N329" s="365"/>
      <c r="O329" s="365"/>
      <c r="P329" s="365"/>
      <c r="Q329" s="365"/>
      <c r="R329" s="365"/>
      <c r="S329" s="365"/>
      <c r="T329" s="365"/>
      <c r="U329" s="365"/>
    </row>
    <row r="330" spans="2:21">
      <c r="B330" s="379"/>
      <c r="C330" s="380"/>
      <c r="D330" s="1482"/>
      <c r="E330" s="1482"/>
      <c r="F330" s="1482"/>
      <c r="G330" s="1482"/>
      <c r="H330" s="1482"/>
      <c r="I330" s="1482"/>
      <c r="J330" s="1482"/>
      <c r="K330" s="1482"/>
      <c r="L330" s="1482"/>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247</v>
      </c>
      <c r="C332" s="380"/>
      <c r="D332" s="391" t="s">
        <v>357</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306</v>
      </c>
      <c r="C334" s="380"/>
      <c r="D334" s="391" t="s">
        <v>346</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235</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236</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237</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347</v>
      </c>
      <c r="E339" s="365" t="s">
        <v>348</v>
      </c>
      <c r="F339" s="880">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349</v>
      </c>
      <c r="F340" s="544">
        <f>+'WS G  State Tax Rate'!F35</f>
        <v>6.0999999999999999E-2</v>
      </c>
      <c r="G340" s="365" t="s">
        <v>507</v>
      </c>
      <c r="H340" s="345"/>
      <c r="I340" s="345"/>
      <c r="J340" s="345"/>
      <c r="K340" s="345"/>
      <c r="L340" s="345"/>
      <c r="M340" s="345"/>
      <c r="N340" s="365"/>
      <c r="O340" s="365"/>
      <c r="P340" s="365"/>
      <c r="Q340" s="365"/>
      <c r="R340" s="365"/>
      <c r="S340" s="365"/>
      <c r="T340" s="365"/>
      <c r="U340" s="365"/>
    </row>
    <row r="341" spans="2:21">
      <c r="B341" s="555"/>
      <c r="C341" s="365"/>
      <c r="D341" s="391"/>
      <c r="E341" s="365" t="s">
        <v>350</v>
      </c>
      <c r="F341" s="880">
        <v>0</v>
      </c>
      <c r="G341" s="365" t="s">
        <v>351</v>
      </c>
      <c r="H341" s="345"/>
      <c r="I341" s="345"/>
      <c r="J341" s="345"/>
      <c r="K341" s="345"/>
      <c r="L341" s="345"/>
      <c r="M341" s="345"/>
      <c r="N341" s="365"/>
      <c r="O341" s="365"/>
      <c r="P341" s="365"/>
      <c r="Q341" s="365"/>
      <c r="R341" s="365"/>
      <c r="S341" s="365"/>
      <c r="T341" s="365"/>
      <c r="U341" s="365"/>
    </row>
    <row r="342" spans="2:21">
      <c r="B342" s="449"/>
      <c r="C342" s="380"/>
      <c r="D342" s="391" t="s">
        <v>594</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595</v>
      </c>
      <c r="E343" s="345"/>
      <c r="F343" s="345"/>
      <c r="G343" s="345"/>
      <c r="H343" s="345"/>
      <c r="I343" s="345"/>
      <c r="J343" s="345"/>
      <c r="K343" s="345"/>
      <c r="L343" s="345"/>
      <c r="M343" s="365"/>
      <c r="N343" s="365"/>
      <c r="O343" s="365"/>
      <c r="P343" s="365"/>
      <c r="Q343" s="365"/>
      <c r="R343" s="365"/>
      <c r="S343" s="365"/>
      <c r="T343" s="365"/>
      <c r="U343" s="365"/>
    </row>
    <row r="344" spans="2:21">
      <c r="B344" s="379" t="s">
        <v>352</v>
      </c>
      <c r="C344" s="380"/>
      <c r="D344" s="391" t="s">
        <v>226</v>
      </c>
      <c r="E344" s="345"/>
      <c r="F344" s="345"/>
      <c r="G344" s="345"/>
      <c r="H344" s="345"/>
      <c r="I344" s="345"/>
      <c r="J344" s="345"/>
      <c r="K344" s="345"/>
      <c r="L344" s="345"/>
      <c r="M344" s="345"/>
      <c r="N344" s="365"/>
      <c r="O344" s="365"/>
      <c r="P344" s="365"/>
      <c r="Q344" s="365"/>
      <c r="R344" s="365"/>
      <c r="S344" s="365"/>
      <c r="T344" s="365"/>
      <c r="U344" s="365"/>
    </row>
    <row r="345" spans="2:2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353</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354</v>
      </c>
      <c r="C348" s="380"/>
      <c r="D348" s="391" t="s">
        <v>417</v>
      </c>
      <c r="E348" s="365"/>
      <c r="F348" s="365"/>
      <c r="G348" s="365"/>
      <c r="H348" s="365"/>
      <c r="I348" s="365"/>
      <c r="J348" s="365"/>
      <c r="K348" s="365"/>
      <c r="L348" s="365"/>
      <c r="M348" s="365"/>
      <c r="N348" s="365"/>
      <c r="O348" s="365"/>
      <c r="P348" s="365"/>
      <c r="Q348" s="365"/>
      <c r="R348" s="365"/>
      <c r="S348" s="365"/>
      <c r="T348" s="365"/>
      <c r="U348" s="365"/>
    </row>
    <row r="349" spans="2:2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355</v>
      </c>
      <c r="C350" s="450"/>
      <c r="D350" s="39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5"/>
      <c r="N350" s="365"/>
      <c r="O350" s="365"/>
      <c r="P350" s="365"/>
      <c r="Q350" s="365"/>
      <c r="R350" s="365"/>
      <c r="S350" s="365"/>
      <c r="T350" s="365"/>
      <c r="U350" s="365"/>
    </row>
    <row r="351" spans="2:21">
      <c r="B351" s="543"/>
      <c r="C351" s="345"/>
      <c r="D351" s="39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5"/>
      <c r="N351" s="365"/>
      <c r="O351" s="365"/>
      <c r="P351" s="365"/>
      <c r="Q351" s="365"/>
      <c r="R351" s="365"/>
      <c r="S351" s="365"/>
      <c r="T351" s="365"/>
      <c r="U351" s="365"/>
    </row>
    <row r="352" spans="2:21" ht="15" customHeight="1">
      <c r="B352" s="543"/>
      <c r="C352" s="345"/>
      <c r="D352" s="1471" t="s">
        <v>584</v>
      </c>
      <c r="E352" s="1471"/>
      <c r="F352" s="1471"/>
      <c r="G352" s="1471"/>
      <c r="H352" s="1471"/>
      <c r="I352" s="1471"/>
      <c r="J352" s="1471"/>
      <c r="K352" s="1471"/>
      <c r="L352" s="1471"/>
      <c r="M352" s="365"/>
      <c r="N352" s="365"/>
      <c r="O352" s="365"/>
      <c r="P352" s="365"/>
      <c r="Q352" s="365"/>
      <c r="R352" s="365"/>
      <c r="S352" s="365"/>
      <c r="T352" s="365"/>
      <c r="U352" s="365"/>
    </row>
    <row r="353" spans="2:21">
      <c r="B353" s="543"/>
      <c r="C353" s="345"/>
      <c r="D353" s="1471"/>
      <c r="E353" s="1471"/>
      <c r="F353" s="1471"/>
      <c r="G353" s="1471"/>
      <c r="H353" s="1471"/>
      <c r="I353" s="1471"/>
      <c r="J353" s="1471"/>
      <c r="K353" s="1471"/>
      <c r="L353" s="1471"/>
      <c r="M353" s="365"/>
      <c r="N353" s="365"/>
      <c r="O353" s="365"/>
      <c r="P353" s="365"/>
      <c r="Q353" s="365"/>
      <c r="R353" s="365"/>
      <c r="S353" s="365"/>
      <c r="T353" s="365"/>
      <c r="U353" s="365"/>
    </row>
    <row r="354" spans="2:21" ht="14.25" customHeight="1">
      <c r="B354" s="543"/>
      <c r="C354" s="345"/>
      <c r="D354" s="1471"/>
      <c r="E354" s="1471"/>
      <c r="F354" s="1471"/>
      <c r="G354" s="1471"/>
      <c r="H354" s="1471"/>
      <c r="I354" s="1471"/>
      <c r="J354" s="1471"/>
      <c r="K354" s="1471"/>
      <c r="L354" s="1471"/>
      <c r="M354" s="365"/>
      <c r="N354" s="365"/>
      <c r="O354" s="365"/>
      <c r="P354" s="365"/>
      <c r="Q354" s="365"/>
      <c r="R354" s="365"/>
      <c r="S354" s="365"/>
      <c r="T354" s="365"/>
      <c r="U354" s="365"/>
    </row>
    <row r="355" spans="2:21" ht="15" hidden="1" customHeight="1">
      <c r="B355" s="543"/>
      <c r="C355" s="345"/>
      <c r="D355" s="1471"/>
      <c r="E355" s="1471"/>
      <c r="F355" s="1471"/>
      <c r="G355" s="1471"/>
      <c r="H355" s="1471"/>
      <c r="I355" s="1471"/>
      <c r="J355" s="1471"/>
      <c r="K355" s="1471"/>
      <c r="L355" s="1471"/>
      <c r="M355" s="365"/>
      <c r="N355" s="365"/>
      <c r="O355" s="365"/>
      <c r="P355" s="365"/>
      <c r="Q355" s="365"/>
      <c r="R355" s="365"/>
      <c r="S355" s="365"/>
      <c r="T355" s="365"/>
      <c r="U355" s="365"/>
    </row>
    <row r="356" spans="2:21" ht="15" hidden="1" customHeight="1">
      <c r="B356" s="543"/>
      <c r="C356" s="345"/>
      <c r="D356" s="1471"/>
      <c r="E356" s="1471"/>
      <c r="F356" s="1471"/>
      <c r="G356" s="1471"/>
      <c r="H356" s="1471"/>
      <c r="I356" s="1471"/>
      <c r="J356" s="1471"/>
      <c r="K356" s="1471"/>
      <c r="L356" s="1471"/>
      <c r="M356" s="365"/>
      <c r="N356" s="365"/>
      <c r="O356" s="365"/>
      <c r="P356" s="365"/>
      <c r="Q356" s="365"/>
      <c r="R356" s="365"/>
      <c r="S356" s="365"/>
      <c r="T356" s="365"/>
      <c r="U356" s="365"/>
    </row>
    <row r="357" spans="2:21" ht="15" hidden="1" customHeight="1">
      <c r="B357" s="543"/>
      <c r="C357" s="345"/>
      <c r="D357" s="1471"/>
      <c r="E357" s="1471"/>
      <c r="F357" s="1471"/>
      <c r="G357" s="1471"/>
      <c r="H357" s="1471"/>
      <c r="I357" s="1471"/>
      <c r="J357" s="1471"/>
      <c r="K357" s="1471"/>
      <c r="L357" s="1471"/>
      <c r="M357" s="365"/>
      <c r="N357" s="365"/>
      <c r="O357" s="365"/>
      <c r="P357" s="365"/>
      <c r="Q357" s="365"/>
      <c r="R357" s="365"/>
      <c r="S357" s="365"/>
      <c r="T357" s="365"/>
      <c r="U357" s="365"/>
    </row>
    <row r="358" spans="2:21" s="345" customFormat="1">
      <c r="B358" s="379" t="s">
        <v>428</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472" t="s">
        <v>585</v>
      </c>
      <c r="E360" s="1472"/>
      <c r="F360" s="1472"/>
      <c r="G360" s="1472"/>
      <c r="H360" s="1472"/>
      <c r="I360" s="1472"/>
      <c r="J360" s="1472"/>
      <c r="K360" s="1472"/>
      <c r="L360" s="1472"/>
      <c r="M360" s="365"/>
      <c r="N360" s="365"/>
      <c r="O360" s="365"/>
      <c r="P360" s="365"/>
      <c r="Q360" s="365"/>
      <c r="R360" s="365"/>
      <c r="S360" s="365"/>
      <c r="T360" s="365"/>
      <c r="U360" s="365"/>
    </row>
    <row r="361" spans="2:21" s="345" customFormat="1">
      <c r="B361" s="379"/>
      <c r="C361" s="380"/>
      <c r="D361" s="1472"/>
      <c r="E361" s="1472"/>
      <c r="F361" s="1472"/>
      <c r="G361" s="1472"/>
      <c r="H361" s="1472"/>
      <c r="I361" s="1472"/>
      <c r="J361" s="1472"/>
      <c r="K361" s="1472"/>
      <c r="L361" s="1472"/>
      <c r="M361" s="365"/>
      <c r="N361" s="365"/>
      <c r="O361" s="365"/>
      <c r="P361" s="365"/>
      <c r="Q361" s="365"/>
      <c r="R361" s="365"/>
      <c r="S361" s="365"/>
      <c r="T361" s="365"/>
      <c r="U361" s="365"/>
    </row>
    <row r="362" spans="2:21" s="345" customFormat="1">
      <c r="B362" s="379"/>
      <c r="C362" s="380"/>
      <c r="D362" s="1472"/>
      <c r="E362" s="1472"/>
      <c r="F362" s="1472"/>
      <c r="G362" s="1472"/>
      <c r="H362" s="1472"/>
      <c r="I362" s="1472"/>
      <c r="J362" s="1472"/>
      <c r="K362" s="1472"/>
      <c r="L362" s="1472"/>
      <c r="M362" s="365"/>
      <c r="N362" s="365"/>
      <c r="O362" s="365"/>
      <c r="P362" s="365"/>
      <c r="Q362" s="365"/>
      <c r="R362" s="365"/>
      <c r="S362" s="365"/>
      <c r="T362" s="365"/>
      <c r="U362" s="365"/>
    </row>
    <row r="363" spans="2:21">
      <c r="B363" s="379" t="s">
        <v>496</v>
      </c>
      <c r="C363" s="556"/>
      <c r="D363" s="1472" t="s">
        <v>762</v>
      </c>
      <c r="E363" s="1472"/>
      <c r="F363" s="1472"/>
      <c r="G363" s="1472"/>
      <c r="H363" s="1472"/>
      <c r="I363" s="1472"/>
      <c r="J363" s="1472"/>
      <c r="K363" s="1472"/>
      <c r="L363" s="1472"/>
      <c r="M363" s="365"/>
      <c r="N363" s="365"/>
      <c r="O363" s="365"/>
      <c r="P363" s="365"/>
      <c r="Q363" s="365"/>
      <c r="R363" s="365"/>
      <c r="S363" s="365"/>
      <c r="T363" s="365"/>
      <c r="U363" s="365"/>
    </row>
    <row r="364" spans="2:21" ht="64.5" customHeight="1">
      <c r="B364" s="379"/>
      <c r="C364" s="380"/>
      <c r="D364" s="1472"/>
      <c r="E364" s="1472"/>
      <c r="F364" s="1472"/>
      <c r="G364" s="1472"/>
      <c r="H364" s="1472"/>
      <c r="I364" s="1472"/>
      <c r="J364" s="1472"/>
      <c r="K364" s="1472"/>
      <c r="L364" s="1472"/>
      <c r="M364" s="365"/>
      <c r="N364" s="365"/>
      <c r="O364" s="365"/>
      <c r="P364" s="365"/>
      <c r="Q364" s="365"/>
      <c r="R364" s="365"/>
      <c r="S364" s="365"/>
      <c r="T364" s="365"/>
      <c r="U364" s="365"/>
    </row>
    <row r="365" spans="2:21">
      <c r="B365" s="379" t="s">
        <v>587</v>
      </c>
      <c r="C365" s="380"/>
      <c r="D365" s="1469" t="s">
        <v>586</v>
      </c>
      <c r="E365" s="1469"/>
      <c r="F365" s="1469"/>
      <c r="G365" s="1469"/>
      <c r="H365" s="1469"/>
      <c r="I365" s="1469"/>
      <c r="J365" s="1469"/>
      <c r="K365" s="1469"/>
      <c r="L365" s="1469"/>
      <c r="M365" s="365"/>
      <c r="N365" s="365"/>
      <c r="O365" s="365"/>
      <c r="P365" s="365"/>
      <c r="Q365" s="365"/>
      <c r="R365" s="365"/>
      <c r="S365" s="365"/>
      <c r="T365" s="365"/>
      <c r="U365" s="365"/>
    </row>
    <row r="366" spans="2:21">
      <c r="B366" s="379"/>
      <c r="C366" s="380"/>
      <c r="D366" s="1469"/>
      <c r="E366" s="1469"/>
      <c r="F366" s="1469"/>
      <c r="G366" s="1469"/>
      <c r="H366" s="1469"/>
      <c r="I366" s="1469"/>
      <c r="J366" s="1469"/>
      <c r="K366" s="1469"/>
      <c r="L366" s="1469"/>
      <c r="M366" s="365"/>
      <c r="N366" s="365"/>
      <c r="O366" s="365"/>
      <c r="P366" s="365"/>
      <c r="Q366" s="365"/>
      <c r="R366" s="365"/>
      <c r="S366" s="365"/>
      <c r="T366" s="365"/>
      <c r="U366" s="365"/>
    </row>
    <row r="367" spans="2:21">
      <c r="B367" s="379" t="s">
        <v>589</v>
      </c>
      <c r="C367" s="380"/>
      <c r="D367" s="1486" t="s">
        <v>590</v>
      </c>
      <c r="E367" s="1486"/>
      <c r="F367" s="1486"/>
      <c r="G367" s="1486"/>
      <c r="H367" s="1486"/>
      <c r="I367" s="1486"/>
      <c r="J367" s="1486"/>
      <c r="K367" s="1486"/>
      <c r="L367" s="1486"/>
      <c r="M367" s="365"/>
      <c r="N367" s="365"/>
      <c r="O367" s="365"/>
      <c r="P367" s="365"/>
      <c r="Q367" s="365"/>
      <c r="R367" s="365"/>
      <c r="S367" s="365"/>
      <c r="T367" s="365"/>
      <c r="U367" s="365"/>
    </row>
    <row r="368" spans="2:21">
      <c r="B368" s="379" t="s">
        <v>588</v>
      </c>
      <c r="C368" s="380"/>
      <c r="D368" s="1469" t="s">
        <v>591</v>
      </c>
      <c r="E368" s="1469"/>
      <c r="F368" s="1469"/>
      <c r="G368" s="1469"/>
      <c r="H368" s="1469"/>
      <c r="I368" s="1469"/>
      <c r="J368" s="1469"/>
      <c r="K368" s="1469"/>
      <c r="L368" s="1469"/>
      <c r="M368" s="365"/>
      <c r="N368" s="365"/>
      <c r="O368" s="365"/>
      <c r="P368" s="365"/>
      <c r="Q368" s="365"/>
      <c r="R368" s="365"/>
      <c r="S368" s="365"/>
      <c r="T368" s="365"/>
      <c r="U368" s="365"/>
    </row>
    <row r="369" spans="2:21">
      <c r="B369" s="379"/>
      <c r="C369" s="380"/>
      <c r="D369" s="1469"/>
      <c r="E369" s="1469"/>
      <c r="F369" s="1469"/>
      <c r="G369" s="1469"/>
      <c r="H369" s="1469"/>
      <c r="I369" s="1469"/>
      <c r="J369" s="1469"/>
      <c r="K369" s="1469"/>
      <c r="L369" s="1469"/>
      <c r="M369" s="365"/>
      <c r="N369" s="365"/>
      <c r="O369" s="365"/>
      <c r="P369" s="365"/>
      <c r="Q369" s="365"/>
      <c r="R369" s="365"/>
      <c r="S369" s="365"/>
      <c r="T369" s="365"/>
      <c r="U369" s="365"/>
    </row>
    <row r="370" spans="2:21">
      <c r="B370" s="357"/>
      <c r="C370" s="357"/>
      <c r="D370" s="1469"/>
      <c r="E370" s="1469"/>
      <c r="F370" s="1469"/>
      <c r="G370" s="1469"/>
      <c r="H370" s="1469"/>
      <c r="I370" s="1469"/>
      <c r="J370" s="1469"/>
      <c r="K370" s="1469"/>
      <c r="L370" s="1469"/>
      <c r="M370" s="365"/>
      <c r="N370" s="365"/>
      <c r="O370" s="365"/>
      <c r="P370" s="365"/>
      <c r="Q370" s="365"/>
      <c r="R370" s="365"/>
      <c r="S370" s="365"/>
      <c r="T370" s="365"/>
      <c r="U370" s="365"/>
    </row>
    <row r="371" spans="2:21" ht="18" customHeight="1">
      <c r="B371" s="1159" t="s">
        <v>634</v>
      </c>
      <c r="C371" s="1160"/>
      <c r="D371" s="545" t="s">
        <v>873</v>
      </c>
      <c r="E371" s="604"/>
      <c r="F371" s="604"/>
      <c r="G371" s="604"/>
      <c r="H371" s="357"/>
      <c r="M371" s="365"/>
      <c r="N371" s="365"/>
      <c r="O371" s="365"/>
      <c r="P371" s="365"/>
      <c r="Q371" s="365"/>
      <c r="R371" s="365"/>
      <c r="S371" s="365"/>
      <c r="T371" s="365"/>
      <c r="U371" s="365"/>
    </row>
    <row r="372" spans="2:21">
      <c r="B372" s="357"/>
      <c r="C372" s="357"/>
      <c r="D372" s="357"/>
      <c r="E372" s="357"/>
      <c r="F372" s="357"/>
      <c r="G372" s="357"/>
      <c r="H372" s="357"/>
      <c r="M372" s="365"/>
      <c r="N372" s="365"/>
      <c r="O372" s="365"/>
      <c r="P372" s="365"/>
      <c r="Q372" s="365"/>
      <c r="R372" s="365"/>
      <c r="S372" s="365"/>
      <c r="T372" s="365"/>
      <c r="U372" s="365"/>
    </row>
    <row r="373" spans="2:21">
      <c r="B373" s="1159" t="s">
        <v>925</v>
      </c>
      <c r="C373" s="439"/>
      <c r="D373" s="1467" t="s">
        <v>926</v>
      </c>
      <c r="E373" s="1467"/>
      <c r="F373" s="1467"/>
      <c r="G373" s="1467"/>
      <c r="H373" s="1467"/>
      <c r="I373" s="1467"/>
      <c r="J373" s="1467"/>
      <c r="K373" s="1467"/>
      <c r="L373" s="1467"/>
      <c r="M373" s="365"/>
      <c r="N373" s="365"/>
      <c r="O373" s="365"/>
      <c r="P373" s="365"/>
      <c r="Q373" s="365"/>
      <c r="R373" s="365"/>
      <c r="S373" s="365"/>
      <c r="T373" s="365"/>
      <c r="U373" s="365"/>
    </row>
    <row r="374" spans="2:21">
      <c r="B374" s="439"/>
      <c r="C374" s="439"/>
      <c r="D374" s="1467"/>
      <c r="E374" s="1467"/>
      <c r="F374" s="1467"/>
      <c r="G374" s="1467"/>
      <c r="H374" s="1467"/>
      <c r="I374" s="1467"/>
      <c r="J374" s="1467"/>
      <c r="K374" s="1467"/>
      <c r="L374" s="1467"/>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543"/>
      <c r="C376" s="345"/>
      <c r="D376" s="345"/>
      <c r="E376" s="345"/>
      <c r="F376" s="345"/>
      <c r="G376" s="345"/>
      <c r="H376" s="345"/>
      <c r="I376" s="345"/>
      <c r="J376" s="345"/>
      <c r="K376" s="345"/>
      <c r="L376" s="345"/>
      <c r="M376" s="34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I1232" s="345"/>
      <c r="J1232" s="345"/>
    </row>
  </sheetData>
  <mergeCells count="26">
    <mergeCell ref="D363:L364"/>
    <mergeCell ref="D365:L366"/>
    <mergeCell ref="D367:L367"/>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283:K284"/>
    <mergeCell ref="D320:K321"/>
    <mergeCell ref="D310:J311"/>
    <mergeCell ref="D328:L330"/>
    <mergeCell ref="D316:J318"/>
    <mergeCell ref="D303:K305"/>
  </mergeCells>
  <phoneticPr fontId="0" type="noConversion"/>
  <pageMargins left="0.26" right="0.37" top="1" bottom="1" header="0.86" footer="0.5"/>
  <pageSetup scale="36" fitToHeight="5" orientation="portrait" r:id="rId1"/>
  <headerFooter alignWithMargins="0">
    <oddHeader>&amp;R&amp;"Arial,Bold"Formula Rate 
&amp;A
Page &amp;P of &amp;N</oddHeader>
  </headerFooter>
  <rowBreaks count="5" manualBreakCount="5">
    <brk id="51" max="11" man="1"/>
    <brk id="126" max="11" man="1"/>
    <brk id="214" max="11" man="1"/>
    <brk id="260" max="11" man="1"/>
    <brk id="3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34" zoomScale="85" zoomScaleNormal="85" zoomScaleSheetLayoutView="85" workbookViewId="0">
      <selection activeCell="D263" sqref="D263"/>
    </sheetView>
  </sheetViews>
  <sheetFormatPr defaultColWidth="9.140625" defaultRowHeight="15"/>
  <cols>
    <col min="1" max="1" width="10.42578125" style="59" customWidth="1"/>
    <col min="2" max="2" width="15.140625" style="28" customWidth="1"/>
    <col min="3" max="3" width="62.425781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43" t="s">
        <v>116</v>
      </c>
    </row>
    <row r="2" spans="1:11" ht="15.75">
      <c r="A2" s="943" t="s">
        <v>116</v>
      </c>
    </row>
    <row r="3" spans="1:11">
      <c r="A3" s="1496" t="s">
        <v>389</v>
      </c>
      <c r="B3" s="1496"/>
      <c r="C3" s="1496"/>
      <c r="D3" s="1496"/>
      <c r="E3" s="1496"/>
      <c r="F3" s="1496"/>
      <c r="G3" s="1496"/>
      <c r="H3" s="40"/>
    </row>
    <row r="4" spans="1:11" ht="17.25" customHeight="1">
      <c r="A4" s="1497" t="str">
        <f>"Cost of Service Formula Rate Using Actual/Projected FF1 Balances"</f>
        <v>Cost of Service Formula Rate Using Actual/Projected FF1 Balances</v>
      </c>
      <c r="B4" s="1497"/>
      <c r="C4" s="1497"/>
      <c r="D4" s="1497"/>
      <c r="E4" s="1497"/>
      <c r="F4" s="1497"/>
      <c r="G4" s="1497"/>
      <c r="H4" s="98"/>
      <c r="I4" s="98"/>
      <c r="J4" s="98"/>
      <c r="K4" s="98"/>
    </row>
    <row r="5" spans="1:11" ht="18" customHeight="1">
      <c r="A5" s="1497" t="s">
        <v>490</v>
      </c>
      <c r="B5" s="1497"/>
      <c r="C5" s="1497"/>
      <c r="D5" s="1497"/>
      <c r="E5" s="1497"/>
      <c r="F5" s="1497"/>
      <c r="G5" s="1497"/>
    </row>
    <row r="6" spans="1:11" ht="19.5" customHeight="1">
      <c r="A6" s="1508" t="str">
        <f>TCOS!F9</f>
        <v>KENTUCKY POWER COMPANY</v>
      </c>
      <c r="B6" s="1508"/>
      <c r="C6" s="1508"/>
      <c r="D6" s="1508"/>
      <c r="E6" s="1508"/>
      <c r="F6" s="1508"/>
      <c r="G6" s="1508"/>
    </row>
    <row r="7" spans="1:11" ht="12.75" customHeight="1">
      <c r="A7" s="1496"/>
      <c r="B7" s="1496"/>
      <c r="C7" s="1496"/>
      <c r="D7" s="1496"/>
      <c r="E7" s="1496"/>
      <c r="F7" s="1496"/>
      <c r="G7" s="47"/>
    </row>
    <row r="8" spans="1:11" ht="18">
      <c r="A8" s="1534"/>
      <c r="B8" s="1534"/>
      <c r="C8" s="1534"/>
      <c r="D8" s="1534"/>
      <c r="E8" s="1534"/>
      <c r="F8" s="1534"/>
      <c r="G8" s="1534"/>
    </row>
    <row r="9" spans="1:11" ht="18">
      <c r="A9" s="167"/>
      <c r="B9" s="167"/>
      <c r="C9" s="167"/>
      <c r="D9" s="167"/>
      <c r="E9" s="167"/>
      <c r="F9" s="167"/>
      <c r="G9" s="167"/>
    </row>
    <row r="10" spans="1:11" ht="15.75">
      <c r="B10" s="37" t="s">
        <v>164</v>
      </c>
      <c r="C10" s="37" t="s">
        <v>165</v>
      </c>
      <c r="D10" s="37" t="s">
        <v>166</v>
      </c>
      <c r="E10" s="37" t="s">
        <v>167</v>
      </c>
      <c r="F10" s="37" t="s">
        <v>85</v>
      </c>
      <c r="G10" s="37" t="s">
        <v>86</v>
      </c>
    </row>
    <row r="11" spans="1:11" ht="15.75">
      <c r="B11" s="51"/>
      <c r="C11" s="47"/>
      <c r="D11" s="205"/>
      <c r="E11" s="206"/>
      <c r="F11" s="207" t="s">
        <v>88</v>
      </c>
      <c r="G11" s="37"/>
    </row>
    <row r="12" spans="1:11" ht="15.75">
      <c r="A12" s="54" t="s">
        <v>171</v>
      </c>
      <c r="B12" s="51"/>
      <c r="C12" s="60"/>
      <c r="D12" s="54">
        <f>+TCOS!L4</f>
        <v>2020</v>
      </c>
      <c r="E12" s="207"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895">
        <v>5660009</v>
      </c>
      <c r="C18" s="1305" t="s">
        <v>954</v>
      </c>
      <c r="D18" s="1307">
        <v>-18660181.16</v>
      </c>
      <c r="E18" s="68"/>
      <c r="F18" s="68"/>
      <c r="G18" s="925"/>
    </row>
    <row r="19" spans="1:7">
      <c r="A19" s="59">
        <v>2</v>
      </c>
      <c r="B19" s="895"/>
      <c r="C19" s="1305"/>
      <c r="D19" s="1307">
        <v>0</v>
      </c>
      <c r="E19" s="68"/>
      <c r="F19" s="68"/>
      <c r="G19" s="44"/>
    </row>
    <row r="20" spans="1:7">
      <c r="A20" s="59">
        <v>3</v>
      </c>
      <c r="B20" s="895"/>
      <c r="C20" s="896"/>
      <c r="D20" s="897"/>
      <c r="E20" s="68"/>
      <c r="F20" s="68"/>
      <c r="G20" s="44"/>
    </row>
    <row r="21" spans="1:7" ht="15.75">
      <c r="A21" s="59">
        <v>4</v>
      </c>
      <c r="B21" s="54"/>
      <c r="C21" s="236" t="s">
        <v>120</v>
      </c>
      <c r="D21" s="309">
        <f>SUM(D18:D19)</f>
        <v>-18660181.16</v>
      </c>
      <c r="E21" s="68"/>
      <c r="F21" s="68"/>
      <c r="G21" s="54"/>
    </row>
    <row r="22" spans="1:7" ht="15.75">
      <c r="B22" s="54"/>
      <c r="C22" s="236"/>
      <c r="D22" s="251"/>
      <c r="E22" s="45"/>
      <c r="F22" s="45"/>
      <c r="G22" s="54"/>
    </row>
    <row r="23" spans="1:7" ht="15.75">
      <c r="A23" s="9"/>
      <c r="B23" s="54"/>
      <c r="C23" s="54" t="s">
        <v>50</v>
      </c>
      <c r="D23" s="303"/>
      <c r="E23" s="45"/>
      <c r="F23" s="45"/>
      <c r="G23" s="54"/>
    </row>
    <row r="24" spans="1:7" ht="15.75">
      <c r="A24" s="53">
        <f>+A21+1</f>
        <v>5</v>
      </c>
      <c r="B24" s="306"/>
      <c r="C24" s="304"/>
      <c r="D24" s="1170"/>
      <c r="E24" s="45"/>
      <c r="F24" s="45"/>
      <c r="G24" s="54"/>
    </row>
    <row r="25" spans="1:7" ht="15.75">
      <c r="A25" s="305">
        <f>+A24+1</f>
        <v>6</v>
      </c>
      <c r="B25" s="1283" t="s">
        <v>51</v>
      </c>
      <c r="C25" s="1283" t="s">
        <v>52</v>
      </c>
      <c r="D25" s="1451">
        <v>0</v>
      </c>
      <c r="E25" s="45"/>
      <c r="F25" s="45"/>
      <c r="G25" s="54"/>
    </row>
    <row r="26" spans="1:7" ht="15.75">
      <c r="A26" s="53">
        <f>+A25+1</f>
        <v>7</v>
      </c>
      <c r="B26" s="1283" t="s">
        <v>53</v>
      </c>
      <c r="C26" s="1283" t="s">
        <v>54</v>
      </c>
      <c r="D26" s="1451">
        <v>334283.31</v>
      </c>
      <c r="E26" s="45"/>
      <c r="F26" s="45"/>
      <c r="G26" s="54"/>
    </row>
    <row r="27" spans="1:7" ht="15.75">
      <c r="A27" s="305">
        <f t="shared" ref="A27:A32" si="0">+A26+1</f>
        <v>8</v>
      </c>
      <c r="B27" s="1283" t="s">
        <v>55</v>
      </c>
      <c r="C27" s="1283" t="s">
        <v>56</v>
      </c>
      <c r="D27" s="1451">
        <v>0</v>
      </c>
      <c r="E27" s="45"/>
      <c r="F27" s="45"/>
      <c r="G27" s="54"/>
    </row>
    <row r="28" spans="1:7" ht="15.75">
      <c r="A28" s="53">
        <f t="shared" si="0"/>
        <v>9</v>
      </c>
      <c r="B28" s="1283" t="s">
        <v>57</v>
      </c>
      <c r="C28" s="1283" t="s">
        <v>58</v>
      </c>
      <c r="D28" s="1451">
        <v>1042127.2100000001</v>
      </c>
      <c r="E28" s="45"/>
      <c r="F28" s="45"/>
      <c r="G28" s="54"/>
    </row>
    <row r="29" spans="1:7" ht="15.75">
      <c r="A29" s="305">
        <f t="shared" si="0"/>
        <v>10</v>
      </c>
      <c r="B29" s="1283" t="s">
        <v>59</v>
      </c>
      <c r="C29" s="1283" t="s">
        <v>60</v>
      </c>
      <c r="D29" s="1451">
        <v>91613.62</v>
      </c>
      <c r="E29" s="45"/>
      <c r="F29" s="45"/>
      <c r="G29" s="54"/>
    </row>
    <row r="30" spans="1:7" ht="15.75">
      <c r="A30" s="53">
        <f t="shared" si="0"/>
        <v>11</v>
      </c>
      <c r="B30" s="1283" t="s">
        <v>61</v>
      </c>
      <c r="C30" s="1283" t="s">
        <v>62</v>
      </c>
      <c r="D30" s="1451">
        <v>0</v>
      </c>
      <c r="E30" s="45"/>
      <c r="F30" s="45"/>
      <c r="G30" s="54"/>
    </row>
    <row r="31" spans="1:7" ht="15.75">
      <c r="A31" s="305">
        <f t="shared" si="0"/>
        <v>12</v>
      </c>
      <c r="B31" s="1283" t="s">
        <v>63</v>
      </c>
      <c r="C31" s="1283" t="s">
        <v>64</v>
      </c>
      <c r="D31" s="1451">
        <v>0</v>
      </c>
      <c r="E31" s="45"/>
      <c r="F31" s="45"/>
      <c r="G31" s="54"/>
    </row>
    <row r="32" spans="1:7" ht="15.75">
      <c r="A32" s="53">
        <f t="shared" si="0"/>
        <v>13</v>
      </c>
      <c r="B32" s="1283" t="s">
        <v>65</v>
      </c>
      <c r="C32" s="1283" t="s">
        <v>66</v>
      </c>
      <c r="D32" s="1451">
        <v>312761.2</v>
      </c>
      <c r="E32" s="45"/>
      <c r="F32" s="45"/>
      <c r="G32" s="54"/>
    </row>
    <row r="33" spans="1:19" ht="15.75">
      <c r="A33" s="59">
        <f>+A32+1</f>
        <v>14</v>
      </c>
      <c r="B33" s="279"/>
      <c r="C33" s="37" t="s">
        <v>67</v>
      </c>
      <c r="D33" s="280">
        <f>SUM(D24:D32)</f>
        <v>1780785.34</v>
      </c>
      <c r="E33" s="45"/>
      <c r="F33" s="45"/>
      <c r="G33" s="54"/>
    </row>
    <row r="34" spans="1:19" ht="15.75">
      <c r="A34" s="233"/>
      <c r="B34" s="67"/>
      <c r="C34" s="54"/>
      <c r="D34" s="54"/>
      <c r="E34" s="54"/>
      <c r="F34" s="54"/>
      <c r="G34" s="54"/>
    </row>
    <row r="35" spans="1:19" ht="15.75">
      <c r="A35" s="233"/>
      <c r="B35" s="53"/>
      <c r="C35" s="102" t="s">
        <v>214</v>
      </c>
      <c r="D35" s="47"/>
      <c r="E35" s="47"/>
      <c r="F35" s="47"/>
      <c r="G35" s="47"/>
    </row>
    <row r="36" spans="1:19">
      <c r="A36" s="59">
        <f>+A33+1</f>
        <v>15</v>
      </c>
      <c r="B36" s="895" t="s">
        <v>930</v>
      </c>
      <c r="C36" s="896" t="s">
        <v>890</v>
      </c>
      <c r="D36" s="1307">
        <v>898.13</v>
      </c>
      <c r="E36" s="45">
        <f>D36</f>
        <v>898.13</v>
      </c>
      <c r="F36" s="45">
        <v>0</v>
      </c>
      <c r="G36" s="44" t="s">
        <v>116</v>
      </c>
    </row>
    <row r="37" spans="1:19">
      <c r="A37" s="59">
        <f>+A36+1</f>
        <v>16</v>
      </c>
      <c r="B37" s="895">
        <v>9280001</v>
      </c>
      <c r="C37" s="896" t="s">
        <v>933</v>
      </c>
      <c r="D37" s="1307">
        <v>-11.13</v>
      </c>
      <c r="E37" s="45">
        <f>D37</f>
        <v>-11.13</v>
      </c>
      <c r="F37" s="45">
        <v>0</v>
      </c>
      <c r="G37" s="44" t="s">
        <v>116</v>
      </c>
    </row>
    <row r="38" spans="1:19">
      <c r="A38" s="59">
        <f>+A37+1</f>
        <v>17</v>
      </c>
      <c r="B38" s="895" t="s">
        <v>931</v>
      </c>
      <c r="C38" s="1305" t="s">
        <v>933</v>
      </c>
      <c r="D38" s="1307">
        <v>2575493.8879999998</v>
      </c>
      <c r="E38" s="45">
        <f>D38</f>
        <v>2575493.8879999998</v>
      </c>
      <c r="F38" s="45">
        <v>0</v>
      </c>
      <c r="G38" s="44" t="s">
        <v>116</v>
      </c>
    </row>
    <row r="39" spans="1:19">
      <c r="A39" s="59">
        <f>+A38+1</f>
        <v>18</v>
      </c>
      <c r="B39" s="895" t="s">
        <v>932</v>
      </c>
      <c r="C39" s="1305" t="s">
        <v>934</v>
      </c>
      <c r="D39" s="1307">
        <v>13418.84</v>
      </c>
      <c r="E39" s="45">
        <f>D39-F39</f>
        <v>0</v>
      </c>
      <c r="F39" s="45">
        <v>13418.84</v>
      </c>
      <c r="G39" s="44" t="s">
        <v>116</v>
      </c>
    </row>
    <row r="40" spans="1:19" ht="12.75" customHeight="1">
      <c r="A40" s="59">
        <f>+A39+1</f>
        <v>19</v>
      </c>
      <c r="B40" s="895"/>
      <c r="C40" s="896"/>
      <c r="D40" s="896"/>
      <c r="E40" s="48"/>
      <c r="F40" s="49"/>
      <c r="G40" s="47"/>
    </row>
    <row r="41" spans="1:19" ht="15.75" customHeight="1">
      <c r="A41" s="59">
        <f>+A40+1</f>
        <v>20</v>
      </c>
      <c r="B41" s="51"/>
      <c r="C41" s="1171" t="s">
        <v>630</v>
      </c>
      <c r="D41" s="62">
        <f>SUM(D36:D39)</f>
        <v>2589799.7279999997</v>
      </c>
      <c r="E41" s="62">
        <f>SUM(E36:E39)</f>
        <v>2576380.8879999998</v>
      </c>
      <c r="F41" s="62">
        <f>SUM(F36:F39)</f>
        <v>13418.84</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895" t="s">
        <v>935</v>
      </c>
      <c r="C44" s="896" t="s">
        <v>891</v>
      </c>
      <c r="D44" s="1307">
        <v>12274.06</v>
      </c>
      <c r="E44" s="45">
        <f>+D44</f>
        <v>12274.06</v>
      </c>
      <c r="F44" s="45">
        <v>0</v>
      </c>
      <c r="G44"/>
      <c r="M44" s="29"/>
      <c r="N44" s="64"/>
      <c r="O44" s="65"/>
      <c r="P44" s="65"/>
      <c r="Q44" s="65"/>
      <c r="R44" s="65"/>
      <c r="S44" s="31"/>
    </row>
    <row r="45" spans="1:19">
      <c r="A45" s="59">
        <f>+A44+1</f>
        <v>22</v>
      </c>
      <c r="B45" s="895" t="s">
        <v>936</v>
      </c>
      <c r="C45" s="896" t="s">
        <v>942</v>
      </c>
      <c r="D45" s="1307">
        <v>3135.01</v>
      </c>
      <c r="E45" s="45">
        <f t="shared" ref="E45:E48" si="1">+D45</f>
        <v>3135.01</v>
      </c>
      <c r="F45" s="45">
        <v>0</v>
      </c>
      <c r="G45"/>
      <c r="M45" s="29"/>
      <c r="N45" s="64"/>
      <c r="O45" s="65"/>
      <c r="P45" s="65"/>
      <c r="Q45" s="65"/>
      <c r="R45" s="65"/>
      <c r="S45" s="31"/>
    </row>
    <row r="46" spans="1:19">
      <c r="A46" s="59">
        <f t="shared" ref="A46:A59" si="2">+A45+1</f>
        <v>23</v>
      </c>
      <c r="B46" s="895" t="s">
        <v>937</v>
      </c>
      <c r="C46" s="896" t="s">
        <v>943</v>
      </c>
      <c r="D46" s="1307">
        <v>21500</v>
      </c>
      <c r="E46" s="45">
        <f t="shared" si="1"/>
        <v>21500</v>
      </c>
      <c r="F46" s="45">
        <v>0</v>
      </c>
      <c r="G46"/>
      <c r="M46" s="29"/>
      <c r="N46" s="64"/>
      <c r="O46" s="65"/>
      <c r="P46" s="65"/>
      <c r="Q46" s="65"/>
      <c r="R46" s="65"/>
      <c r="S46" s="31"/>
    </row>
    <row r="47" spans="1:19">
      <c r="A47" s="59">
        <f t="shared" si="2"/>
        <v>24</v>
      </c>
      <c r="B47" s="895" t="s">
        <v>938</v>
      </c>
      <c r="C47" s="896" t="s">
        <v>944</v>
      </c>
      <c r="D47" s="1307">
        <v>0</v>
      </c>
      <c r="E47" s="45">
        <f t="shared" si="1"/>
        <v>0</v>
      </c>
      <c r="F47" s="45">
        <v>0</v>
      </c>
      <c r="G47"/>
      <c r="M47" s="29"/>
      <c r="N47" s="64"/>
      <c r="O47" s="65"/>
      <c r="P47" s="65"/>
      <c r="Q47" s="65"/>
      <c r="R47" s="65"/>
      <c r="S47" s="31"/>
    </row>
    <row r="48" spans="1:19">
      <c r="A48" s="59">
        <f>+A47+1</f>
        <v>25</v>
      </c>
      <c r="B48" s="895" t="s">
        <v>1255</v>
      </c>
      <c r="C48" s="896" t="s">
        <v>1137</v>
      </c>
      <c r="D48" s="1307">
        <v>0</v>
      </c>
      <c r="E48" s="45">
        <f t="shared" si="1"/>
        <v>0</v>
      </c>
      <c r="F48" s="45">
        <v>0</v>
      </c>
      <c r="G48"/>
      <c r="M48" s="29"/>
      <c r="N48" s="64"/>
      <c r="O48" s="65"/>
      <c r="P48" s="65"/>
      <c r="Q48" s="65"/>
      <c r="R48" s="65"/>
      <c r="S48" s="31"/>
    </row>
    <row r="49" spans="1:19">
      <c r="A49" s="59">
        <f t="shared" si="2"/>
        <v>26</v>
      </c>
      <c r="B49" s="895" t="s">
        <v>939</v>
      </c>
      <c r="C49" s="1305" t="s">
        <v>945</v>
      </c>
      <c r="D49" s="1307">
        <v>163.35</v>
      </c>
      <c r="E49" s="45">
        <f t="shared" ref="E49:E52" si="3">+D49</f>
        <v>163.35</v>
      </c>
      <c r="F49" s="45">
        <v>0</v>
      </c>
      <c r="G49"/>
      <c r="M49" s="29"/>
      <c r="N49" s="64"/>
      <c r="O49" s="65"/>
      <c r="P49" s="65"/>
      <c r="Q49" s="65"/>
      <c r="R49" s="65"/>
      <c r="S49" s="31"/>
    </row>
    <row r="50" spans="1:19">
      <c r="A50" s="59">
        <f t="shared" si="2"/>
        <v>27</v>
      </c>
      <c r="B50" s="895" t="s">
        <v>940</v>
      </c>
      <c r="C50" s="1305" t="s">
        <v>946</v>
      </c>
      <c r="D50" s="1307">
        <v>21073.350000000002</v>
      </c>
      <c r="E50" s="45">
        <f t="shared" si="3"/>
        <v>21073.350000000002</v>
      </c>
      <c r="F50" s="45">
        <v>0</v>
      </c>
      <c r="G50"/>
      <c r="M50" s="29"/>
      <c r="N50" s="64"/>
      <c r="O50" s="65"/>
      <c r="P50" s="65"/>
      <c r="Q50" s="65"/>
      <c r="R50" s="65"/>
      <c r="S50" s="31"/>
    </row>
    <row r="51" spans="1:19">
      <c r="A51" s="59">
        <f t="shared" si="2"/>
        <v>28</v>
      </c>
      <c r="B51" s="895" t="s">
        <v>1256</v>
      </c>
      <c r="C51" s="1305" t="s">
        <v>1254</v>
      </c>
      <c r="D51" s="1307">
        <v>174.44</v>
      </c>
      <c r="E51" s="45">
        <f t="shared" si="3"/>
        <v>174.44</v>
      </c>
      <c r="F51" s="45">
        <v>0</v>
      </c>
      <c r="G51"/>
      <c r="M51" s="29"/>
      <c r="N51" s="64"/>
      <c r="O51" s="65"/>
      <c r="P51" s="65"/>
      <c r="Q51" s="65"/>
      <c r="R51" s="65"/>
      <c r="S51" s="31"/>
    </row>
    <row r="52" spans="1:19">
      <c r="A52" s="59">
        <f>A51+1</f>
        <v>29</v>
      </c>
      <c r="B52" s="895" t="s">
        <v>941</v>
      </c>
      <c r="C52" s="896" t="s">
        <v>947</v>
      </c>
      <c r="D52" s="1307">
        <v>7453.78</v>
      </c>
      <c r="E52" s="45">
        <f t="shared" si="3"/>
        <v>7453.78</v>
      </c>
      <c r="F52" s="45">
        <v>0</v>
      </c>
      <c r="G52"/>
      <c r="M52" s="29"/>
      <c r="N52" s="64"/>
      <c r="O52" s="65"/>
      <c r="P52" s="65"/>
      <c r="Q52" s="65"/>
      <c r="R52" s="65"/>
      <c r="S52" s="31"/>
    </row>
    <row r="53" spans="1:19">
      <c r="A53" s="59">
        <f>A52+1</f>
        <v>30</v>
      </c>
      <c r="B53" s="895"/>
      <c r="C53" s="896"/>
      <c r="D53" s="897"/>
      <c r="E53" s="45"/>
      <c r="F53" s="45"/>
      <c r="G53"/>
      <c r="M53" s="29"/>
      <c r="N53" s="64"/>
      <c r="O53" s="65"/>
      <c r="P53" s="65"/>
      <c r="Q53" s="65"/>
      <c r="R53" s="65"/>
      <c r="S53" s="31"/>
    </row>
    <row r="54" spans="1:19">
      <c r="A54" s="59">
        <f>A53+1</f>
        <v>31</v>
      </c>
      <c r="B54" s="895"/>
      <c r="C54" s="896"/>
      <c r="D54" s="897"/>
      <c r="E54" s="45"/>
      <c r="F54" s="45"/>
      <c r="G54"/>
      <c r="M54" s="29"/>
      <c r="N54" s="64"/>
      <c r="O54" s="65"/>
      <c r="P54" s="65"/>
      <c r="Q54" s="65"/>
      <c r="R54" s="65"/>
      <c r="S54" s="31"/>
    </row>
    <row r="55" spans="1:19">
      <c r="A55" s="59">
        <f>A54+1</f>
        <v>32</v>
      </c>
      <c r="B55" s="895"/>
      <c r="C55" s="896"/>
      <c r="D55" s="897"/>
      <c r="E55" s="45"/>
      <c r="F55" s="50"/>
      <c r="G55"/>
      <c r="M55" s="29"/>
      <c r="N55" s="64"/>
      <c r="O55" s="65"/>
      <c r="P55" s="65"/>
      <c r="Q55" s="65"/>
      <c r="R55" s="65"/>
      <c r="S55" s="31"/>
    </row>
    <row r="56" spans="1:19">
      <c r="A56" s="59">
        <f t="shared" si="2"/>
        <v>33</v>
      </c>
      <c r="B56" s="895"/>
      <c r="C56" s="896"/>
      <c r="D56" s="897"/>
      <c r="E56" s="45"/>
      <c r="F56" s="50"/>
      <c r="G56"/>
    </row>
    <row r="57" spans="1:19">
      <c r="A57" s="59">
        <f t="shared" si="2"/>
        <v>34</v>
      </c>
      <c r="B57" s="895"/>
      <c r="C57" s="896"/>
      <c r="D57" s="897"/>
      <c r="E57" s="45"/>
      <c r="F57" s="50"/>
      <c r="G57" s="47"/>
    </row>
    <row r="58" spans="1:19">
      <c r="A58" s="59">
        <f t="shared" si="2"/>
        <v>35</v>
      </c>
      <c r="B58" s="895"/>
      <c r="C58" s="896"/>
      <c r="D58" s="897"/>
      <c r="E58" s="45"/>
      <c r="F58" s="50"/>
      <c r="G58" s="47"/>
    </row>
    <row r="59" spans="1:19">
      <c r="A59" s="59">
        <f t="shared" si="2"/>
        <v>36</v>
      </c>
      <c r="B59" s="895"/>
      <c r="C59" s="896"/>
      <c r="D59" s="897"/>
      <c r="E59" s="45"/>
      <c r="F59" s="50"/>
      <c r="G59" s="47"/>
    </row>
    <row r="60" spans="1:19">
      <c r="B60" s="46"/>
      <c r="C60" s="47"/>
      <c r="D60" s="55"/>
      <c r="E60" s="56"/>
      <c r="F60" s="55"/>
      <c r="G60" s="47"/>
    </row>
    <row r="61" spans="1:19" ht="15.75">
      <c r="A61" s="59">
        <f>A59+1</f>
        <v>37</v>
      </c>
      <c r="B61" s="51"/>
      <c r="C61" s="1171" t="s">
        <v>631</v>
      </c>
      <c r="D61" s="57">
        <f>SUM(D44:D60)</f>
        <v>65773.990000000005</v>
      </c>
      <c r="E61" s="57">
        <f>SUM(E44:E60)</f>
        <v>65773.990000000005</v>
      </c>
      <c r="F61" s="57">
        <f>SUM(F44:F56)</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895" t="s">
        <v>892</v>
      </c>
      <c r="C64" s="896" t="s">
        <v>893</v>
      </c>
      <c r="D64" s="1307">
        <v>163564.37</v>
      </c>
      <c r="E64" s="45">
        <f>+D64</f>
        <v>163564.37</v>
      </c>
      <c r="F64" s="50">
        <v>0</v>
      </c>
      <c r="G64" s="29"/>
      <c r="H64" s="29"/>
      <c r="J64" s="31"/>
      <c r="K64" s="31"/>
    </row>
    <row r="65" spans="1:11">
      <c r="A65" s="59">
        <f>+A64+1</f>
        <v>39</v>
      </c>
      <c r="B65" s="895" t="s">
        <v>894</v>
      </c>
      <c r="C65" s="896" t="s">
        <v>895</v>
      </c>
      <c r="D65" s="1307">
        <v>41249.428</v>
      </c>
      <c r="E65" s="45">
        <f>+D65</f>
        <v>41249.428</v>
      </c>
      <c r="F65" s="50">
        <v>0</v>
      </c>
      <c r="G65" s="29"/>
      <c r="H65" s="29"/>
      <c r="J65" s="31"/>
      <c r="K65" s="31"/>
    </row>
    <row r="66" spans="1:11">
      <c r="A66" s="59">
        <f>+A65+1</f>
        <v>40</v>
      </c>
      <c r="B66" s="895" t="s">
        <v>896</v>
      </c>
      <c r="C66" s="896" t="s">
        <v>897</v>
      </c>
      <c r="D66" s="1307">
        <v>79.22</v>
      </c>
      <c r="E66" s="45">
        <f>+D66</f>
        <v>79.22</v>
      </c>
      <c r="F66" s="50">
        <v>0</v>
      </c>
      <c r="G66" s="29"/>
      <c r="H66" s="29"/>
      <c r="J66" s="31"/>
      <c r="K66" s="31"/>
    </row>
    <row r="67" spans="1:11">
      <c r="A67" s="59">
        <f>A66+1</f>
        <v>41</v>
      </c>
      <c r="B67" s="895" t="s">
        <v>898</v>
      </c>
      <c r="C67" s="896" t="s">
        <v>899</v>
      </c>
      <c r="D67" s="1307">
        <v>115307.55</v>
      </c>
      <c r="E67" s="45">
        <f>D67</f>
        <v>115307.55</v>
      </c>
      <c r="F67" s="50">
        <v>0</v>
      </c>
      <c r="G67" s="29"/>
      <c r="H67" s="29"/>
      <c r="J67" s="31"/>
      <c r="K67" s="31"/>
    </row>
    <row r="68" spans="1:11">
      <c r="B68" s="895" t="s">
        <v>900</v>
      </c>
      <c r="C68" s="1305" t="s">
        <v>901</v>
      </c>
      <c r="D68" s="1307">
        <v>236174.804</v>
      </c>
      <c r="E68" s="45">
        <f>D68-F68</f>
        <v>231833.334</v>
      </c>
      <c r="F68" s="50">
        <v>4341.47</v>
      </c>
      <c r="G68" s="29"/>
      <c r="H68" s="29"/>
      <c r="J68" s="31"/>
      <c r="K68" s="31"/>
    </row>
    <row r="69" spans="1:11">
      <c r="A69" s="59">
        <f>+A67+1</f>
        <v>42</v>
      </c>
      <c r="B69" s="895" t="s">
        <v>1257</v>
      </c>
      <c r="C69" s="896" t="s">
        <v>1258</v>
      </c>
      <c r="D69" s="898">
        <v>0.2</v>
      </c>
      <c r="E69" s="1423">
        <f>D69</f>
        <v>0.2</v>
      </c>
      <c r="F69" s="312">
        <v>0</v>
      </c>
      <c r="G69" s="39"/>
    </row>
    <row r="70" spans="1:11">
      <c r="B70" s="310"/>
      <c r="C70" s="313"/>
      <c r="D70" s="314"/>
      <c r="E70" s="311"/>
      <c r="F70" s="311"/>
      <c r="G70" s="39"/>
    </row>
    <row r="71" spans="1:11" ht="15.75">
      <c r="A71" s="59">
        <f>+A69+1</f>
        <v>43</v>
      </c>
      <c r="B71" s="39"/>
      <c r="C71" s="1171" t="s">
        <v>632</v>
      </c>
      <c r="D71" s="312">
        <f>SUM(D64:D69)</f>
        <v>556375.57199999993</v>
      </c>
      <c r="E71" s="312">
        <f>SUM(E64:E69)</f>
        <v>552034.10199999996</v>
      </c>
      <c r="F71" s="312">
        <f>SUM(F64:F69)</f>
        <v>4341.47</v>
      </c>
      <c r="G71" s="30"/>
    </row>
    <row r="72" spans="1:11">
      <c r="B72" s="90"/>
      <c r="C72" s="21"/>
      <c r="D72" s="308"/>
      <c r="E72" s="21"/>
      <c r="F72" s="21"/>
      <c r="G72"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3"/>
  <sheetViews>
    <sheetView view="pageBreakPreview" zoomScaleNormal="100" zoomScaleSheetLayoutView="100" workbookViewId="0">
      <selection activeCell="D263" sqref="D263"/>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43" t="s">
        <v>116</v>
      </c>
    </row>
    <row r="2" spans="1:15" ht="15.75">
      <c r="A2" s="943" t="s">
        <v>116</v>
      </c>
    </row>
    <row r="3" spans="1:15" ht="15">
      <c r="A3" s="1496" t="s">
        <v>389</v>
      </c>
      <c r="B3" s="1496"/>
      <c r="C3" s="1496"/>
      <c r="D3" s="1496"/>
      <c r="E3" s="1496"/>
      <c r="F3" s="1496"/>
      <c r="G3" s="1496"/>
      <c r="H3" s="1496"/>
    </row>
    <row r="4" spans="1:15" ht="15">
      <c r="A4" s="1497" t="str">
        <f>"Cost of Service Formula Rate Using Actual/Projected FF1 Balances"</f>
        <v>Cost of Service Formula Rate Using Actual/Projected FF1 Balances</v>
      </c>
      <c r="B4" s="1497"/>
      <c r="C4" s="1497"/>
      <c r="D4" s="1497"/>
      <c r="E4" s="1497"/>
      <c r="F4" s="1497"/>
      <c r="G4" s="1497"/>
      <c r="H4" s="1497"/>
    </row>
    <row r="5" spans="1:15" ht="15">
      <c r="A5" s="1497" t="s">
        <v>529</v>
      </c>
      <c r="B5" s="1497"/>
      <c r="C5" s="1497"/>
      <c r="D5" s="1497"/>
      <c r="E5" s="1497"/>
      <c r="F5" s="1497"/>
      <c r="G5" s="1497"/>
      <c r="H5" s="1497"/>
    </row>
    <row r="6" spans="1:15" ht="15">
      <c r="A6" s="1508" t="str">
        <f>TCOS!F9</f>
        <v>KENTUCKY POWER COMPANY</v>
      </c>
      <c r="B6" s="1508"/>
      <c r="C6" s="1508"/>
      <c r="D6" s="1508"/>
      <c r="E6" s="1508"/>
      <c r="F6" s="1508"/>
      <c r="G6" s="1508"/>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308" t="s">
        <v>956</v>
      </c>
      <c r="C9" s="38"/>
      <c r="D9" s="41"/>
      <c r="E9" s="899">
        <v>0.05</v>
      </c>
      <c r="F9" s="2"/>
      <c r="G9" s="23"/>
      <c r="H9" s="23"/>
      <c r="L9" s="22"/>
    </row>
    <row r="10" spans="1:15" ht="15">
      <c r="A10" s="22"/>
      <c r="B10" s="17" t="s">
        <v>767</v>
      </c>
      <c r="C10" s="38"/>
      <c r="D10" s="38"/>
      <c r="E10" s="900">
        <v>0.92</v>
      </c>
      <c r="F10" s="2"/>
      <c r="G10" s="23"/>
      <c r="H10" s="23"/>
      <c r="L10" s="22"/>
    </row>
    <row r="11" spans="1:15" ht="15">
      <c r="A11" s="22"/>
      <c r="B11" s="17" t="s">
        <v>450</v>
      </c>
      <c r="C11" s="38"/>
      <c r="D11" s="38"/>
      <c r="E11" s="321"/>
      <c r="F11" s="42">
        <f>ROUND(E9*E10,4)</f>
        <v>4.5999999999999999E-2</v>
      </c>
      <c r="G11" s="23"/>
      <c r="L11" s="22"/>
    </row>
    <row r="12" spans="1:15" ht="15">
      <c r="A12" s="22"/>
      <c r="B12" s="17"/>
      <c r="C12" s="38"/>
      <c r="D12" s="38"/>
      <c r="E12" s="321"/>
      <c r="F12" s="42"/>
      <c r="G12" s="23"/>
      <c r="L12" s="22"/>
    </row>
    <row r="13" spans="1:15" ht="15">
      <c r="A13" s="22"/>
      <c r="B13" s="1308" t="s">
        <v>955</v>
      </c>
      <c r="C13" s="38"/>
      <c r="D13" s="41"/>
      <c r="E13" s="899">
        <v>0.06</v>
      </c>
      <c r="F13" s="2"/>
      <c r="G13" s="23"/>
      <c r="L13" s="22"/>
    </row>
    <row r="14" spans="1:15" ht="15">
      <c r="A14" s="22"/>
      <c r="B14" s="17" t="s">
        <v>767</v>
      </c>
      <c r="C14" s="38"/>
      <c r="D14" s="38"/>
      <c r="E14" s="900">
        <v>0</v>
      </c>
      <c r="F14" s="2"/>
      <c r="G14" s="23"/>
      <c r="L14" s="22"/>
    </row>
    <row r="15" spans="1:15" ht="15">
      <c r="A15" s="22"/>
      <c r="B15" s="17" t="s">
        <v>450</v>
      </c>
      <c r="C15" s="38"/>
      <c r="D15" s="38"/>
      <c r="E15" s="321"/>
      <c r="F15" s="42">
        <f>ROUND(E13*E14,4)</f>
        <v>0</v>
      </c>
      <c r="G15" s="23"/>
      <c r="L15" s="22"/>
    </row>
    <row r="16" spans="1:15" ht="15">
      <c r="A16" s="22"/>
      <c r="B16" s="17"/>
      <c r="C16" s="38"/>
      <c r="D16" s="38"/>
      <c r="E16" s="321"/>
      <c r="F16" s="42"/>
      <c r="G16" s="23"/>
      <c r="L16" s="22"/>
    </row>
    <row r="17" spans="1:12" ht="15">
      <c r="A17" s="22"/>
      <c r="B17" s="17" t="s">
        <v>902</v>
      </c>
      <c r="C17" s="38"/>
      <c r="D17" s="41"/>
      <c r="E17" s="899">
        <v>6.5000000000000002E-2</v>
      </c>
      <c r="F17" s="2"/>
      <c r="G17" s="23"/>
      <c r="L17" s="22"/>
    </row>
    <row r="18" spans="1:12" ht="15">
      <c r="A18" s="22"/>
      <c r="B18" s="17" t="s">
        <v>767</v>
      </c>
      <c r="C18" s="38"/>
      <c r="D18" s="38"/>
      <c r="E18" s="900">
        <v>0.215</v>
      </c>
      <c r="F18" s="2"/>
      <c r="G18" s="23"/>
      <c r="L18" s="22"/>
    </row>
    <row r="19" spans="1:12" ht="15">
      <c r="A19" s="22"/>
      <c r="B19" s="17" t="s">
        <v>450</v>
      </c>
      <c r="C19" s="38"/>
      <c r="D19" s="38"/>
      <c r="E19" s="321"/>
      <c r="F19" s="42">
        <f>ROUND(E17*E18,4)</f>
        <v>1.4E-2</v>
      </c>
      <c r="G19" s="23"/>
      <c r="L19" s="22"/>
    </row>
    <row r="20" spans="1:12" ht="15">
      <c r="A20" s="22"/>
      <c r="B20" s="17"/>
      <c r="C20" s="38"/>
      <c r="D20" s="38"/>
      <c r="E20" s="321"/>
      <c r="F20" s="42"/>
      <c r="G20" s="23"/>
      <c r="L20" s="22"/>
    </row>
    <row r="21" spans="1:12" ht="15">
      <c r="A21" s="22"/>
      <c r="B21" s="1308" t="s">
        <v>914</v>
      </c>
      <c r="C21" s="1309"/>
      <c r="D21" s="1310"/>
      <c r="E21" s="899">
        <v>0</v>
      </c>
      <c r="F21" s="42"/>
      <c r="G21" s="23"/>
      <c r="L21" s="22"/>
    </row>
    <row r="22" spans="1:12" ht="15">
      <c r="A22" s="22"/>
      <c r="B22" s="1308" t="s">
        <v>915</v>
      </c>
      <c r="C22" s="1309"/>
      <c r="D22" s="1310"/>
      <c r="E22" s="899">
        <v>0</v>
      </c>
      <c r="F22" s="43"/>
      <c r="G22" s="23"/>
      <c r="L22" s="22"/>
    </row>
    <row r="23" spans="1:12" ht="15">
      <c r="A23" s="22"/>
      <c r="B23" s="1308" t="s">
        <v>916</v>
      </c>
      <c r="C23" s="1309"/>
      <c r="D23" s="1309"/>
      <c r="E23" s="900">
        <v>0</v>
      </c>
      <c r="F23" s="43"/>
      <c r="G23" s="23"/>
      <c r="L23" s="22"/>
    </row>
    <row r="24" spans="1:12" ht="15">
      <c r="A24" s="22"/>
      <c r="B24" s="1308" t="s">
        <v>450</v>
      </c>
      <c r="C24" s="1309"/>
      <c r="D24" s="1309"/>
      <c r="E24" s="1311"/>
      <c r="F24" s="42">
        <f>ROUND(E22*E23*E21,4)</f>
        <v>0</v>
      </c>
      <c r="G24" s="23"/>
      <c r="L24" s="22"/>
    </row>
    <row r="25" spans="1:12" ht="15">
      <c r="A25" s="22"/>
      <c r="B25" s="17"/>
      <c r="C25" s="38"/>
      <c r="D25" s="38"/>
      <c r="E25" s="321"/>
      <c r="F25" s="42"/>
      <c r="G25" s="23"/>
      <c r="L25" s="22"/>
    </row>
    <row r="26" spans="1:12" ht="15">
      <c r="A26" s="22"/>
      <c r="B26" s="1308" t="s">
        <v>917</v>
      </c>
      <c r="C26" s="38"/>
      <c r="D26" s="41"/>
      <c r="E26" s="899">
        <v>9.5000000000000001E-2</v>
      </c>
      <c r="F26" s="2"/>
      <c r="G26" s="23"/>
      <c r="L26" s="22"/>
    </row>
    <row r="27" spans="1:12" ht="15">
      <c r="A27" s="22"/>
      <c r="B27" s="17" t="s">
        <v>767</v>
      </c>
      <c r="C27" s="38"/>
      <c r="D27" s="38"/>
      <c r="E27" s="900">
        <v>0.01</v>
      </c>
      <c r="F27" s="2"/>
      <c r="G27" s="23"/>
      <c r="L27" s="22"/>
    </row>
    <row r="28" spans="1:12" ht="15">
      <c r="A28" s="22"/>
      <c r="B28" s="17" t="s">
        <v>450</v>
      </c>
      <c r="C28" s="38"/>
      <c r="D28" s="38"/>
      <c r="E28" s="321"/>
      <c r="F28" s="42">
        <f>ROUND(E26*E27,4)</f>
        <v>1E-3</v>
      </c>
      <c r="G28" s="23"/>
      <c r="L28" s="22"/>
    </row>
    <row r="29" spans="1:12" ht="15">
      <c r="A29" s="22"/>
      <c r="B29" s="17"/>
      <c r="C29" s="38"/>
      <c r="D29" s="38"/>
      <c r="E29" s="321"/>
      <c r="F29" s="42"/>
      <c r="G29" s="23"/>
      <c r="L29" s="22"/>
    </row>
    <row r="30" spans="1:12" ht="15">
      <c r="A30" s="22"/>
      <c r="B30" s="1308" t="s">
        <v>917</v>
      </c>
      <c r="C30" s="38"/>
      <c r="D30" s="41"/>
      <c r="E30" s="899">
        <v>5.8799999999999998E-2</v>
      </c>
      <c r="F30" s="2"/>
      <c r="G30" s="23"/>
      <c r="L30" s="22"/>
    </row>
    <row r="31" spans="1:12" ht="15">
      <c r="A31" s="22"/>
      <c r="B31" s="17" t="s">
        <v>767</v>
      </c>
      <c r="C31" s="38"/>
      <c r="D31" s="38"/>
      <c r="E31" s="900">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6.0999999999999999E-2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35" t="s">
        <v>116</v>
      </c>
      <c r="C40" s="1535"/>
      <c r="D40" s="1535"/>
      <c r="E40" s="1535"/>
      <c r="F40" s="1535"/>
      <c r="G40" s="1535"/>
      <c r="H40" s="21"/>
      <c r="I40" s="19"/>
      <c r="L40" s="21"/>
    </row>
    <row r="41" spans="1:12" ht="12.75" customHeight="1">
      <c r="A41" s="21"/>
      <c r="B41" s="1535"/>
      <c r="C41" s="1535"/>
      <c r="D41" s="1535"/>
      <c r="E41" s="1535"/>
      <c r="F41" s="1535"/>
      <c r="G41" s="1535"/>
      <c r="H41" s="21"/>
      <c r="L41" s="21"/>
    </row>
    <row r="42" spans="1:12" ht="17.25" customHeight="1">
      <c r="A42" s="21"/>
      <c r="B42" s="1535"/>
      <c r="C42" s="1535"/>
      <c r="D42" s="1535"/>
      <c r="E42" s="1535"/>
      <c r="F42" s="1535"/>
      <c r="G42" s="1535"/>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82"/>
  <sheetViews>
    <sheetView view="pageBreakPreview" zoomScale="60" zoomScaleNormal="55" workbookViewId="0">
      <selection activeCell="D263" sqref="D263"/>
    </sheetView>
  </sheetViews>
  <sheetFormatPr defaultColWidth="9.140625"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1.85546875"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29" customWidth="1"/>
    <col min="16" max="16384" width="9.140625" style="112"/>
  </cols>
  <sheetData>
    <row r="1" spans="1:29" ht="15.75">
      <c r="A1" s="943" t="s">
        <v>116</v>
      </c>
    </row>
    <row r="2" spans="1:29" ht="15.75">
      <c r="A2" s="943" t="s">
        <v>116</v>
      </c>
    </row>
    <row r="3" spans="1:29" ht="18.75" customHeight="1">
      <c r="A3" s="1496" t="s">
        <v>389</v>
      </c>
      <c r="B3" s="1496"/>
      <c r="C3" s="1496"/>
      <c r="D3" s="1496"/>
      <c r="E3" s="1496"/>
      <c r="F3" s="1496"/>
      <c r="G3" s="1496"/>
      <c r="H3" s="1496"/>
      <c r="I3" s="1496"/>
      <c r="J3" s="1496"/>
      <c r="K3" s="1496"/>
      <c r="L3" s="1496"/>
      <c r="M3" s="1496"/>
    </row>
    <row r="4" spans="1:29" ht="18.75" customHeight="1">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1497"/>
    </row>
    <row r="5" spans="1:29" ht="18.75" customHeight="1">
      <c r="A5" s="1497" t="s">
        <v>240</v>
      </c>
      <c r="B5" s="1497"/>
      <c r="C5" s="1497"/>
      <c r="D5" s="1497"/>
      <c r="E5" s="1497"/>
      <c r="F5" s="1497"/>
      <c r="G5" s="1497"/>
      <c r="H5" s="1497"/>
      <c r="I5" s="1497"/>
      <c r="J5" s="1497"/>
      <c r="K5" s="1497"/>
      <c r="L5" s="1497"/>
      <c r="M5" s="1497"/>
    </row>
    <row r="6" spans="1:29" ht="18.75" customHeight="1">
      <c r="A6" s="1504" t="str">
        <f>+TCOS!F9</f>
        <v>KENTUCKY POWER COMPANY</v>
      </c>
      <c r="B6" s="1504"/>
      <c r="C6" s="1504"/>
      <c r="D6" s="1504"/>
      <c r="E6" s="1504"/>
      <c r="F6" s="1504"/>
      <c r="G6" s="1504"/>
      <c r="H6" s="1504"/>
      <c r="I6" s="1504"/>
      <c r="J6" s="1504"/>
      <c r="K6" s="1504"/>
      <c r="L6" s="1504"/>
      <c r="M6" s="1504"/>
    </row>
    <row r="7" spans="1:29" ht="18" customHeight="1">
      <c r="A7" s="1508"/>
      <c r="B7" s="1508"/>
      <c r="C7" s="1508"/>
      <c r="D7" s="1508"/>
      <c r="E7" s="1508"/>
      <c r="F7" s="1508"/>
      <c r="G7" s="1508"/>
      <c r="H7" s="1508"/>
      <c r="I7" s="1508"/>
      <c r="J7" s="1508"/>
      <c r="K7" s="1508"/>
      <c r="L7" s="1508"/>
      <c r="M7" s="1508"/>
    </row>
    <row r="8" spans="1:29" ht="18" customHeight="1">
      <c r="A8" s="1534"/>
      <c r="B8" s="1534"/>
      <c r="C8" s="1534"/>
      <c r="D8" s="1534"/>
      <c r="E8" s="1534"/>
      <c r="F8" s="1534"/>
      <c r="G8" s="1534"/>
      <c r="H8" s="1534"/>
      <c r="I8" s="1534"/>
      <c r="J8" s="1534"/>
      <c r="K8" s="1534"/>
      <c r="L8" s="1534"/>
      <c r="M8" s="1534"/>
    </row>
    <row r="9" spans="1:29" ht="18" customHeight="1">
      <c r="A9" s="167"/>
      <c r="B9" s="167"/>
      <c r="C9" s="167"/>
      <c r="D9" s="167"/>
      <c r="E9" s="167"/>
      <c r="F9" s="167"/>
      <c r="G9" s="167"/>
      <c r="H9" s="167"/>
      <c r="I9" s="167"/>
      <c r="J9" s="167"/>
      <c r="K9" s="167"/>
      <c r="L9" s="167"/>
      <c r="M9" s="167"/>
    </row>
    <row r="10" spans="1:29" ht="19.5" customHeight="1">
      <c r="A10" s="114"/>
      <c r="B10" s="115"/>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20"/>
      <c r="L12" s="120"/>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8">
        <f>'WS H-1-Detail of Tax Amts'!E15</f>
        <v>29496</v>
      </c>
      <c r="F17" s="110"/>
      <c r="G17" s="137"/>
      <c r="H17" s="137"/>
      <c r="I17" s="137"/>
      <c r="J17" s="137"/>
      <c r="K17" s="137"/>
      <c r="L17" s="137"/>
      <c r="M17" s="119">
        <f>+E17</f>
        <v>29496</v>
      </c>
    </row>
    <row r="18" spans="1:15" ht="19.5">
      <c r="A18" s="114"/>
      <c r="B18" s="115"/>
      <c r="C18" s="120"/>
      <c r="D18" s="115"/>
      <c r="E18" s="277"/>
      <c r="F18" s="110"/>
      <c r="G18" s="137"/>
      <c r="H18" s="137"/>
      <c r="I18" s="137"/>
      <c r="J18" s="137"/>
      <c r="K18" s="137"/>
      <c r="L18" s="137"/>
      <c r="M18" s="119"/>
    </row>
    <row r="19" spans="1:15" ht="18">
      <c r="A19" s="1127">
        <f>+A17+1</f>
        <v>3</v>
      </c>
      <c r="B19" s="1128"/>
      <c r="C19" s="1129" t="s">
        <v>326</v>
      </c>
      <c r="D19" s="1128"/>
      <c r="E19" s="1130"/>
      <c r="F19" s="1131"/>
      <c r="G19" s="1132"/>
      <c r="H19" s="1125"/>
      <c r="I19" s="1125"/>
      <c r="J19" s="1125"/>
      <c r="K19" s="1125"/>
      <c r="L19" s="1125"/>
      <c r="M19" s="1126"/>
    </row>
    <row r="20" spans="1:15" ht="18">
      <c r="A20" s="1127">
        <f>+A19+1</f>
        <v>4</v>
      </c>
      <c r="B20" s="1128"/>
      <c r="C20" s="1131" t="s">
        <v>923</v>
      </c>
      <c r="D20" s="1131"/>
      <c r="E20" s="1133">
        <f>'WS H-1-Detail of Tax Amts'!E29</f>
        <v>14958169</v>
      </c>
      <c r="F20" s="1131"/>
      <c r="G20" s="1132">
        <f>+E20</f>
        <v>14958169</v>
      </c>
      <c r="H20" s="1125"/>
      <c r="I20" s="1125"/>
      <c r="J20" s="1125"/>
      <c r="K20" s="1125"/>
      <c r="L20" s="1125"/>
      <c r="M20" s="1126"/>
      <c r="O20"/>
    </row>
    <row r="21" spans="1:15" ht="18">
      <c r="A21" s="1127">
        <f>+A20+1</f>
        <v>5</v>
      </c>
      <c r="B21" s="1128"/>
      <c r="C21" s="1131" t="s">
        <v>603</v>
      </c>
      <c r="D21" s="1131"/>
      <c r="E21" s="1133">
        <f>'WS H-1-Detail of Tax Amts'!E39</f>
        <v>3169451</v>
      </c>
      <c r="F21" s="1131"/>
      <c r="G21" s="1132">
        <f>+E21</f>
        <v>3169451</v>
      </c>
      <c r="H21" s="1125"/>
      <c r="I21" s="1125"/>
      <c r="J21" s="1125"/>
      <c r="K21" s="1125"/>
      <c r="L21" s="1125"/>
      <c r="M21" s="1126"/>
      <c r="O21"/>
    </row>
    <row r="22" spans="1:15" ht="18">
      <c r="A22" s="1127">
        <f>+A21+1</f>
        <v>6</v>
      </c>
      <c r="B22" s="1128"/>
      <c r="C22" s="1131" t="s">
        <v>600</v>
      </c>
      <c r="D22" s="1133"/>
      <c r="E22" s="1133">
        <f>'WS H-1-Detail of Tax Amts'!E50</f>
        <v>0</v>
      </c>
      <c r="F22" s="1131"/>
      <c r="G22" s="1132">
        <f>+E22</f>
        <v>0</v>
      </c>
      <c r="H22" s="1125"/>
      <c r="I22" s="1125"/>
      <c r="J22" s="1125"/>
      <c r="K22" s="1125"/>
      <c r="L22" s="1125"/>
      <c r="M22" s="1126"/>
      <c r="O22"/>
    </row>
    <row r="23" spans="1:15" ht="18">
      <c r="A23" s="1127">
        <f>+A22+1</f>
        <v>7</v>
      </c>
      <c r="B23" s="1128"/>
      <c r="C23" s="1131" t="s">
        <v>465</v>
      </c>
      <c r="D23" s="1133"/>
      <c r="E23" s="1133">
        <f>'WS H-1-Detail of Tax Amts'!E56</f>
        <v>0</v>
      </c>
      <c r="F23" s="1131"/>
      <c r="G23" s="1132">
        <f>E23</f>
        <v>0</v>
      </c>
      <c r="H23" s="1125"/>
      <c r="I23" s="1125"/>
      <c r="J23" s="1125"/>
      <c r="K23" s="1125"/>
      <c r="L23" s="1125"/>
      <c r="M23" s="1126"/>
      <c r="O23"/>
    </row>
    <row r="24" spans="1:15" ht="19.5">
      <c r="A24" s="114"/>
      <c r="B24" s="115"/>
      <c r="C24" s="120"/>
      <c r="D24" s="115"/>
      <c r="E24" s="277"/>
      <c r="F24" s="110"/>
      <c r="G24" s="137"/>
      <c r="H24" s="137"/>
      <c r="I24" s="137"/>
      <c r="J24" s="137"/>
      <c r="K24" s="137"/>
      <c r="L24" s="137"/>
      <c r="M24" s="119"/>
      <c r="O24" s="230"/>
    </row>
    <row r="25" spans="1:15" ht="19.5">
      <c r="A25" s="114">
        <f>+A23+1</f>
        <v>8</v>
      </c>
      <c r="B25" s="115"/>
      <c r="C25" s="118" t="s">
        <v>327</v>
      </c>
      <c r="D25" s="115"/>
      <c r="E25" s="277"/>
      <c r="F25" s="110"/>
      <c r="G25" s="137"/>
      <c r="H25" s="137"/>
      <c r="I25" s="137"/>
      <c r="J25" s="137"/>
      <c r="K25" s="137"/>
      <c r="L25" s="137"/>
      <c r="M25" s="119"/>
      <c r="O25" s="230"/>
    </row>
    <row r="26" spans="1:15" ht="19.5">
      <c r="A26" s="114">
        <f>+A25+1</f>
        <v>9</v>
      </c>
      <c r="B26" s="115"/>
      <c r="C26" s="113" t="s">
        <v>323</v>
      </c>
      <c r="D26" s="115"/>
      <c r="E26" s="278">
        <f>'WS H-1-Detail of Tax Amts'!E67</f>
        <v>1855431</v>
      </c>
      <c r="F26" s="110"/>
      <c r="G26" s="137"/>
      <c r="H26" s="137"/>
      <c r="I26" s="137">
        <f>+E26</f>
        <v>1855431</v>
      </c>
      <c r="J26" s="137"/>
      <c r="K26" s="137"/>
      <c r="L26" s="137"/>
      <c r="M26" s="119"/>
      <c r="O26" s="230"/>
    </row>
    <row r="27" spans="1:15" ht="19.5">
      <c r="A27" s="114">
        <f>+A26+1</f>
        <v>10</v>
      </c>
      <c r="B27" s="115"/>
      <c r="C27" s="113" t="s">
        <v>316</v>
      </c>
      <c r="D27" s="115"/>
      <c r="E27" s="278">
        <f>'WS H-1-Detail of Tax Amts'!E69</f>
        <v>1816</v>
      </c>
      <c r="F27" s="110"/>
      <c r="G27" s="110"/>
      <c r="H27" s="110"/>
      <c r="I27" s="119">
        <f>+E27</f>
        <v>1816</v>
      </c>
      <c r="J27" s="113"/>
      <c r="K27" s="110"/>
      <c r="L27" s="110"/>
      <c r="M27" s="119"/>
    </row>
    <row r="28" spans="1:15" ht="19.5">
      <c r="A28" s="114">
        <f>+A27+1</f>
        <v>11</v>
      </c>
      <c r="B28" s="115"/>
      <c r="C28" s="113" t="s">
        <v>317</v>
      </c>
      <c r="D28" s="115"/>
      <c r="E28" s="278">
        <f>'WS H-1-Detail of Tax Amts'!E71</f>
        <v>7453</v>
      </c>
      <c r="F28" s="110"/>
      <c r="G28" s="110"/>
      <c r="H28" s="110"/>
      <c r="I28" s="119">
        <f>+E28</f>
        <v>7453</v>
      </c>
      <c r="J28" s="117"/>
      <c r="K28" s="110"/>
      <c r="L28" s="110"/>
      <c r="M28" s="119"/>
    </row>
    <row r="29" spans="1:15" ht="19.5">
      <c r="A29" s="114" t="s">
        <v>116</v>
      </c>
      <c r="B29" s="115"/>
      <c r="C29" s="110"/>
      <c r="D29" s="115"/>
      <c r="E29" s="277"/>
      <c r="F29" s="110"/>
      <c r="G29" s="110"/>
      <c r="H29" s="110"/>
      <c r="I29" s="129"/>
      <c r="J29" s="130"/>
      <c r="K29" s="133"/>
      <c r="L29" s="133"/>
      <c r="M29" s="119"/>
    </row>
    <row r="30" spans="1:15" ht="19.5">
      <c r="A30" s="114">
        <f>A28+1</f>
        <v>12</v>
      </c>
      <c r="B30" s="115"/>
      <c r="C30" s="118" t="s">
        <v>442</v>
      </c>
      <c r="D30" s="115"/>
      <c r="E30" s="277"/>
      <c r="F30" s="110"/>
      <c r="G30" s="110"/>
      <c r="H30" s="110"/>
      <c r="I30" s="129"/>
      <c r="J30" s="130"/>
      <c r="K30" s="133"/>
      <c r="L30" s="133"/>
      <c r="M30" s="119"/>
    </row>
    <row r="31" spans="1:15" ht="19.5">
      <c r="A31" s="114">
        <f>A30+1</f>
        <v>13</v>
      </c>
      <c r="B31" s="115"/>
      <c r="C31" s="125" t="s">
        <v>443</v>
      </c>
      <c r="D31" s="232"/>
      <c r="E31" s="278">
        <f>'WS H-1-Detail of Tax Amts'!E77</f>
        <v>0</v>
      </c>
      <c r="F31" s="125"/>
      <c r="G31" s="110"/>
      <c r="H31" s="110"/>
      <c r="I31" s="129"/>
      <c r="J31" s="130"/>
      <c r="K31" s="133"/>
      <c r="L31" s="133"/>
      <c r="M31" s="119">
        <f>E31</f>
        <v>0</v>
      </c>
    </row>
    <row r="32" spans="1:15" ht="19.5">
      <c r="A32" s="114"/>
      <c r="B32" s="115"/>
      <c r="C32" s="110"/>
      <c r="D32" s="115"/>
      <c r="E32" s="277"/>
      <c r="F32" s="110"/>
      <c r="G32" s="110"/>
      <c r="H32" s="110"/>
      <c r="I32" s="129"/>
      <c r="J32" s="130"/>
      <c r="K32" s="133"/>
      <c r="L32" s="133"/>
      <c r="M32" s="119"/>
    </row>
    <row r="33" spans="1:13" ht="19.5">
      <c r="A33" s="122">
        <f>+A31+1</f>
        <v>14</v>
      </c>
      <c r="B33" s="123"/>
      <c r="C33" s="118" t="s">
        <v>324</v>
      </c>
      <c r="D33" s="124"/>
      <c r="E33" s="277"/>
      <c r="F33" s="110"/>
      <c r="G33" s="119"/>
      <c r="H33" s="119"/>
      <c r="I33" s="119"/>
      <c r="J33" s="119"/>
      <c r="K33" s="119"/>
      <c r="L33" s="119"/>
      <c r="M33" s="119"/>
    </row>
    <row r="34" spans="1:13" ht="19.5">
      <c r="A34" s="122">
        <f>A33+1</f>
        <v>15</v>
      </c>
      <c r="B34" s="123"/>
      <c r="C34" s="110" t="s">
        <v>441</v>
      </c>
      <c r="D34" s="124"/>
      <c r="E34" s="278">
        <f>'WS H-1-Detail of Tax Amts'!E81</f>
        <v>6153176</v>
      </c>
      <c r="F34" s="125"/>
      <c r="G34" s="119"/>
      <c r="H34" s="119"/>
      <c r="I34" s="119"/>
      <c r="J34" s="119"/>
      <c r="K34" s="119"/>
      <c r="L34" s="119"/>
      <c r="M34" s="119">
        <f>E34</f>
        <v>6153176</v>
      </c>
    </row>
    <row r="35" spans="1:13" ht="19.5">
      <c r="A35" s="114">
        <f>A34+1</f>
        <v>16</v>
      </c>
      <c r="B35" s="115"/>
      <c r="C35" s="110" t="s">
        <v>318</v>
      </c>
      <c r="D35" s="115"/>
      <c r="E35" s="164">
        <f>'WS H-1-Detail of Tax Amts'!E85</f>
        <v>1180726</v>
      </c>
      <c r="F35" s="110"/>
      <c r="G35" s="119"/>
      <c r="H35" s="119"/>
      <c r="I35" s="119"/>
      <c r="J35" s="119"/>
      <c r="K35" s="119">
        <f>+E35</f>
        <v>1180726</v>
      </c>
      <c r="L35" s="119"/>
      <c r="M35" s="119"/>
    </row>
    <row r="36" spans="1:13" ht="19.5">
      <c r="A36" s="114">
        <f t="shared" ref="A36:A42" si="0">+A35+1</f>
        <v>17</v>
      </c>
      <c r="B36" s="115"/>
      <c r="C36" s="110" t="s">
        <v>319</v>
      </c>
      <c r="D36"/>
      <c r="E36" s="164">
        <f>'WS H-1-Detail of Tax Amts'!E89</f>
        <v>528559</v>
      </c>
      <c r="F36" s="110"/>
      <c r="G36" s="164"/>
      <c r="H36" s="164"/>
      <c r="I36" s="164"/>
      <c r="J36" s="164"/>
      <c r="K36" s="119">
        <f>+E36</f>
        <v>528559</v>
      </c>
      <c r="L36" s="164"/>
      <c r="M36" s="119"/>
    </row>
    <row r="37" spans="1:13" ht="19.5">
      <c r="A37" s="114">
        <f>+A36+1</f>
        <v>18</v>
      </c>
      <c r="B37" s="115"/>
      <c r="C37" s="110" t="s">
        <v>320</v>
      </c>
      <c r="D37"/>
      <c r="E37" s="164">
        <f>'WS H-1-Detail of Tax Amts'!E99</f>
        <v>0</v>
      </c>
      <c r="F37" s="110"/>
      <c r="G37" s="119"/>
      <c r="H37" s="119"/>
      <c r="I37" s="119"/>
      <c r="J37" s="119"/>
      <c r="K37" s="119">
        <f>+E37</f>
        <v>0</v>
      </c>
      <c r="L37" s="119"/>
      <c r="M37" s="119"/>
    </row>
    <row r="38" spans="1:13" ht="19.5">
      <c r="A38" s="114">
        <f t="shared" si="0"/>
        <v>19</v>
      </c>
      <c r="B38" s="115"/>
      <c r="C38" s="110" t="s">
        <v>321</v>
      </c>
      <c r="D38" s="115"/>
      <c r="E38" s="164">
        <f>'WS H-1-Detail of Tax Amts'!E106</f>
        <v>0</v>
      </c>
      <c r="F38" s="110"/>
      <c r="G38" s="119"/>
      <c r="H38" s="119"/>
      <c r="I38" s="119"/>
      <c r="J38" s="119"/>
      <c r="K38" s="119">
        <f>+E38</f>
        <v>0</v>
      </c>
      <c r="L38" s="119"/>
      <c r="M38" s="119"/>
    </row>
    <row r="39" spans="1:13" ht="19.5">
      <c r="A39" s="114">
        <f t="shared" si="0"/>
        <v>20</v>
      </c>
      <c r="B39" s="115"/>
      <c r="C39" s="110" t="s">
        <v>322</v>
      </c>
      <c r="D39" s="115"/>
      <c r="E39" s="164">
        <f>'WS H-1-Detail of Tax Amts'!E109</f>
        <v>90295</v>
      </c>
      <c r="F39" s="125"/>
      <c r="G39" s="119"/>
      <c r="H39" s="119"/>
      <c r="I39" s="119"/>
      <c r="J39" s="119"/>
      <c r="K39" s="119"/>
      <c r="L39" s="119"/>
      <c r="M39" s="119">
        <f>+E39</f>
        <v>90295</v>
      </c>
    </row>
    <row r="40" spans="1:13" ht="19.5">
      <c r="A40" s="114">
        <f t="shared" si="0"/>
        <v>21</v>
      </c>
      <c r="B40" s="110"/>
      <c r="C40" s="110" t="s">
        <v>310</v>
      </c>
      <c r="D40" s="110"/>
      <c r="E40" s="164">
        <f>'WS H-1-Detail of Tax Amts'!E114</f>
        <v>5572</v>
      </c>
      <c r="F40" s="110"/>
      <c r="G40" s="119"/>
      <c r="H40" s="119"/>
      <c r="I40" s="119"/>
      <c r="J40" s="119"/>
      <c r="K40" s="119"/>
      <c r="L40" s="119"/>
      <c r="M40" s="119">
        <f>+E40</f>
        <v>5572</v>
      </c>
    </row>
    <row r="41" spans="1:13" ht="19.5">
      <c r="A41" s="114">
        <f t="shared" si="0"/>
        <v>22</v>
      </c>
      <c r="B41" s="110"/>
      <c r="C41" s="136" t="s">
        <v>108</v>
      </c>
      <c r="D41" s="125"/>
      <c r="E41" s="164">
        <f>'WS H-1-Detail of Tax Amts'!E117</f>
        <v>0</v>
      </c>
      <c r="F41" s="125"/>
      <c r="G41" s="119"/>
      <c r="H41" s="119"/>
      <c r="I41" s="119"/>
      <c r="J41" s="119"/>
      <c r="K41" s="119"/>
      <c r="L41" s="119"/>
      <c r="M41" s="119">
        <f>+E41</f>
        <v>0</v>
      </c>
    </row>
    <row r="42" spans="1:13" ht="19.5">
      <c r="A42" s="114">
        <f t="shared" si="0"/>
        <v>23</v>
      </c>
      <c r="B42" s="110"/>
      <c r="C42" s="136"/>
      <c r="D42" s="125"/>
      <c r="E42" s="164"/>
      <c r="F42" s="125"/>
      <c r="G42" s="119"/>
      <c r="H42" s="119"/>
      <c r="I42" s="119"/>
      <c r="J42" s="119"/>
      <c r="K42" s="119"/>
      <c r="L42" s="119"/>
      <c r="M42" s="119"/>
    </row>
    <row r="43" spans="1:13" ht="20.25" thickBot="1">
      <c r="A43" s="114">
        <f>A42+1</f>
        <v>24</v>
      </c>
      <c r="B43" s="240"/>
      <c r="C43" s="110" t="s">
        <v>313</v>
      </c>
      <c r="D43"/>
      <c r="E43" s="135">
        <f>SUM(E17:E41)</f>
        <v>27980144</v>
      </c>
      <c r="F43" s="110"/>
      <c r="G43" s="135">
        <f>SUM(G17:G41)</f>
        <v>18127620</v>
      </c>
      <c r="H43" s="128"/>
      <c r="I43" s="135">
        <f>SUM(I17:I41)</f>
        <v>1864700</v>
      </c>
      <c r="J43" s="131"/>
      <c r="K43" s="135">
        <f>SUM(K17:K41)</f>
        <v>1709285</v>
      </c>
      <c r="L43" s="134"/>
      <c r="M43" s="135">
        <f>SUM(M17:M41)</f>
        <v>6278539</v>
      </c>
    </row>
    <row r="44" spans="1:13" ht="20.25" thickTop="1">
      <c r="A44" s="6"/>
      <c r="B44" s="240"/>
      <c r="C44" s="110" t="s">
        <v>383</v>
      </c>
      <c r="D44"/>
      <c r="E44"/>
      <c r="F44" s="110"/>
      <c r="G44" s="128"/>
      <c r="H44" s="128"/>
      <c r="I44" s="131"/>
      <c r="J44" s="132"/>
      <c r="K44" s="134"/>
      <c r="L44" s="134"/>
      <c r="M44" s="134"/>
    </row>
    <row r="45" spans="1:13" ht="19.5">
      <c r="A45" s="6"/>
      <c r="B45" s="240"/>
      <c r="C45" s="125" t="s">
        <v>80</v>
      </c>
      <c r="D45"/>
      <c r="E45"/>
      <c r="F45" s="110"/>
      <c r="G45" s="128"/>
      <c r="H45" s="128"/>
      <c r="I45" s="131"/>
      <c r="J45" s="132"/>
      <c r="K45" s="134"/>
      <c r="L45" s="134"/>
      <c r="M45" s="134"/>
    </row>
    <row r="46" spans="1:13" ht="19.5">
      <c r="A46" s="6"/>
      <c r="B46" s="240"/>
      <c r="C46" s="1536" t="s">
        <v>464</v>
      </c>
      <c r="D46" s="1536"/>
      <c r="E46" s="1536"/>
      <c r="F46" s="1536"/>
      <c r="G46" s="1536"/>
      <c r="H46" s="1536"/>
      <c r="I46" s="1536"/>
      <c r="J46" s="1536"/>
      <c r="K46" s="1536"/>
      <c r="L46" s="1536"/>
      <c r="M46" s="1536"/>
    </row>
    <row r="47" spans="1:13" ht="19.5">
      <c r="A47" s="114"/>
      <c r="C47" s="110"/>
      <c r="D47" s="110"/>
      <c r="E47" s="139" t="s">
        <v>231</v>
      </c>
      <c r="G47" s="139" t="s">
        <v>335</v>
      </c>
      <c r="H47" s="139"/>
      <c r="I47" s="139" t="s">
        <v>440</v>
      </c>
      <c r="J47" s="139"/>
      <c r="K47" s="139" t="s">
        <v>336</v>
      </c>
      <c r="L47" s="139"/>
      <c r="M47" s="139" t="s">
        <v>120</v>
      </c>
    </row>
    <row r="48" spans="1:13" ht="19.5">
      <c r="A48" s="160">
        <f>+A43+1</f>
        <v>25</v>
      </c>
      <c r="B48" s="161"/>
      <c r="C48" s="254" t="str">
        <f>"Functionalized Net Plant (TCOS, Lns "&amp;TCOS!B90&amp;" thru "&amp;TCOS!B95&amp;")"</f>
        <v>Functionalized Net Plant (TCOS, Lns 41 thru 46)</v>
      </c>
      <c r="D48" s="125"/>
      <c r="E48" s="255">
        <f>+TCOS!G90</f>
        <v>706555809.84461546</v>
      </c>
      <c r="F48" s="254"/>
      <c r="G48" s="255">
        <f>+TCOS!G91</f>
        <v>433504586.90615392</v>
      </c>
      <c r="H48" s="254"/>
      <c r="I48" s="255">
        <f>+TCOS!G92</f>
        <v>654124687.59846151</v>
      </c>
      <c r="J48" s="254"/>
      <c r="K48" s="256">
        <f>+TCOS!G93</f>
        <v>36749919.564615384</v>
      </c>
      <c r="L48" s="125"/>
      <c r="M48" s="162">
        <f>SUM(E48:K48)</f>
        <v>1830935003.9138463</v>
      </c>
    </row>
    <row r="49" spans="1:21" ht="19.5">
      <c r="A49" s="160"/>
      <c r="B49" s="161"/>
      <c r="C49" s="1281" t="s">
        <v>918</v>
      </c>
      <c r="D49" s="125"/>
      <c r="E49" s="162"/>
      <c r="F49" s="125"/>
      <c r="G49" s="224"/>
      <c r="H49" s="125"/>
      <c r="I49" s="162"/>
      <c r="J49" s="125"/>
      <c r="K49" s="163"/>
      <c r="L49" s="125"/>
      <c r="M49" s="228"/>
    </row>
    <row r="50" spans="1:21" ht="19.5">
      <c r="A50" s="160">
        <f>+A48+1</f>
        <v>26</v>
      </c>
      <c r="B50" s="161"/>
      <c r="C50" s="125" t="str">
        <f>"Percentage of Plant in "&amp;C49&amp;""</f>
        <v>Percentage of Plant in KENTUCKY JURISDICTION</v>
      </c>
      <c r="D50" s="125"/>
      <c r="E50" s="901">
        <v>0.147706228230046</v>
      </c>
      <c r="F50" s="322"/>
      <c r="G50" s="901">
        <v>0.98351406220497195</v>
      </c>
      <c r="H50" s="322"/>
      <c r="I50" s="901">
        <v>0.99996485934047596</v>
      </c>
      <c r="J50" s="224"/>
      <c r="K50" s="901">
        <v>0.99760852895702501</v>
      </c>
      <c r="L50" s="125"/>
      <c r="M50" s="228"/>
    </row>
    <row r="51" spans="1:21" ht="19.5">
      <c r="A51" s="160">
        <f t="shared" ref="A51:A57" si="1">+A50+1</f>
        <v>27</v>
      </c>
      <c r="B51" s="161"/>
      <c r="C51" s="254" t="str">
        <f>"Net Plant in "&amp;C49&amp;" (Ln "&amp;A48&amp;" * Ln "&amp;A50&amp;")"</f>
        <v>Net Plant in KENTUCKY JURISDICTION (Ln 25 * Ln 26)</v>
      </c>
      <c r="D51" s="125"/>
      <c r="E51" s="162">
        <f>+E48*E50</f>
        <v>104362693.70617376</v>
      </c>
      <c r="F51" s="125"/>
      <c r="G51" s="162">
        <f>+G48*G50</f>
        <v>426357857.25255972</v>
      </c>
      <c r="H51" s="125"/>
      <c r="I51" s="162">
        <f>+I48*I50</f>
        <v>654101701.22552836</v>
      </c>
      <c r="J51" s="125"/>
      <c r="K51" s="162">
        <f>+K48*K50</f>
        <v>36662033.196144946</v>
      </c>
      <c r="L51" s="125"/>
      <c r="M51" s="162">
        <f>SUM(E51:K51)</f>
        <v>1221484285.3804069</v>
      </c>
      <c r="O51"/>
    </row>
    <row r="52" spans="1:21" ht="19.5">
      <c r="A52" s="160">
        <f t="shared" si="1"/>
        <v>28</v>
      </c>
      <c r="B52" s="161"/>
      <c r="C52" s="254" t="s">
        <v>227</v>
      </c>
      <c r="D52" s="125"/>
      <c r="E52" s="1424">
        <v>18779038</v>
      </c>
      <c r="F52" s="125"/>
      <c r="G52" s="222"/>
      <c r="H52" s="125"/>
      <c r="I52" s="222"/>
      <c r="J52" s="125"/>
      <c r="K52" s="223"/>
      <c r="L52" s="125"/>
      <c r="M52" s="162"/>
      <c r="O52"/>
    </row>
    <row r="53" spans="1:21" ht="19.5">
      <c r="A53" s="160">
        <f t="shared" si="1"/>
        <v>29</v>
      </c>
      <c r="B53" s="161"/>
      <c r="C53" s="125" t="str">
        <f>"Taxable Property Basis (Ln "&amp;A51&amp;" - Ln "&amp;A52&amp;")"</f>
        <v>Taxable Property Basis (Ln 27 - Ln 28)</v>
      </c>
      <c r="D53" s="125"/>
      <c r="E53" s="162">
        <f>+E51-E52</f>
        <v>85583655.706173763</v>
      </c>
      <c r="F53" s="125"/>
      <c r="G53" s="162">
        <f>+G51-G52</f>
        <v>426357857.25255972</v>
      </c>
      <c r="H53" s="125"/>
      <c r="I53" s="162">
        <f>+I51-I52</f>
        <v>654101701.22552836</v>
      </c>
      <c r="J53" s="125"/>
      <c r="K53" s="162">
        <f>+K51-K52</f>
        <v>36662033.196144946</v>
      </c>
      <c r="L53" s="125"/>
      <c r="M53" s="162">
        <f>SUM(E53:K53)</f>
        <v>1202705247.3804069</v>
      </c>
      <c r="O53"/>
    </row>
    <row r="54" spans="1:21" ht="19.5">
      <c r="A54" s="160">
        <f t="shared" si="1"/>
        <v>30</v>
      </c>
      <c r="B54" s="161"/>
      <c r="C54" s="164" t="s">
        <v>463</v>
      </c>
      <c r="D54" s="125"/>
      <c r="E54" s="901">
        <v>0.33</v>
      </c>
      <c r="F54" s="322"/>
      <c r="G54" s="901">
        <v>1</v>
      </c>
      <c r="H54" s="322"/>
      <c r="I54" s="901">
        <v>1</v>
      </c>
      <c r="J54" s="224"/>
      <c r="K54" s="901">
        <v>1</v>
      </c>
      <c r="L54" s="125"/>
      <c r="M54" s="216">
        <f>SUM(E54:K54)</f>
        <v>3.33</v>
      </c>
      <c r="O54"/>
    </row>
    <row r="55" spans="1:21" ht="19.5">
      <c r="A55" s="160">
        <f t="shared" si="1"/>
        <v>31</v>
      </c>
      <c r="B55" s="161"/>
      <c r="C55" s="254" t="str">
        <f>"Weighted Net Plant (Ln "&amp;A53&amp;" * Ln "&amp;A54&amp;")"</f>
        <v>Weighted Net Plant (Ln 29 * Ln 30)</v>
      </c>
      <c r="D55" s="125"/>
      <c r="E55" s="162">
        <f>+E53*E54</f>
        <v>28242606.383037344</v>
      </c>
      <c r="F55" s="125"/>
      <c r="G55" s="162">
        <f>+G53*G54</f>
        <v>426357857.25255972</v>
      </c>
      <c r="H55" s="125"/>
      <c r="I55" s="162">
        <f>+I53*I54</f>
        <v>654101701.22552836</v>
      </c>
      <c r="J55" s="125"/>
      <c r="K55" s="162">
        <f>+K53*K54</f>
        <v>36662033.196144946</v>
      </c>
      <c r="L55" s="125"/>
      <c r="M55" s="162"/>
      <c r="O55"/>
      <c r="P55"/>
      <c r="Q55"/>
      <c r="R55"/>
      <c r="S55"/>
      <c r="T55"/>
      <c r="U55"/>
    </row>
    <row r="56" spans="1:21" ht="19.5">
      <c r="A56" s="160">
        <f t="shared" si="1"/>
        <v>32</v>
      </c>
      <c r="B56" s="161"/>
      <c r="C56" s="125" t="str">
        <f>+"General Plant Allocator (Ln "&amp;A55&amp;" / (Total - General Plant))"</f>
        <v>General Plant Allocator (Ln 31 / (Total - General Plant))</v>
      </c>
      <c r="D56" s="125"/>
      <c r="E56" s="165">
        <f>IF(E54=0,0,+E55/($E55+$G55+$I55))</f>
        <v>2.5473573767734976E-2</v>
      </c>
      <c r="F56" s="125"/>
      <c r="G56" s="165">
        <f>IF(G54=0,0,+G55/($E55+$G55+$I55))</f>
        <v>0.38455580837254405</v>
      </c>
      <c r="H56" s="125"/>
      <c r="I56" s="165">
        <f>IF(I54=0,0,+I55/($E55+$G55+$I55))</f>
        <v>0.58997061785972094</v>
      </c>
      <c r="J56" s="125"/>
      <c r="K56" s="165">
        <v>-1</v>
      </c>
      <c r="L56" s="125"/>
      <c r="M56" s="125"/>
      <c r="O56"/>
      <c r="P56"/>
      <c r="Q56"/>
      <c r="R56"/>
      <c r="S56"/>
      <c r="T56"/>
      <c r="U56"/>
    </row>
    <row r="57" spans="1:21" ht="19.5">
      <c r="A57" s="160">
        <f t="shared" si="1"/>
        <v>33</v>
      </c>
      <c r="B57" s="161"/>
      <c r="C57" s="125" t="str">
        <f>"Functionalized General Plant (Ln "&amp;A56&amp;" * General Plant)"</f>
        <v>Functionalized General Plant (Ln 32 * General Plant)</v>
      </c>
      <c r="D57" s="125"/>
      <c r="E57" s="166">
        <f>ROUND($K55*E56,0)</f>
        <v>933913</v>
      </c>
      <c r="F57" s="125"/>
      <c r="G57" s="166">
        <f>+G56*K55</f>
        <v>14098597.812324565</v>
      </c>
      <c r="H57" s="125"/>
      <c r="I57" s="166">
        <f>ROUND($K55*I56,0)</f>
        <v>21629522</v>
      </c>
      <c r="J57" s="125"/>
      <c r="K57" s="166">
        <f>ROUND($K55*K56,0)</f>
        <v>-36662033</v>
      </c>
      <c r="L57" s="125"/>
      <c r="M57" s="162">
        <f>IF(SUM(E57:K57)&lt;&gt;0,0,0)</f>
        <v>0</v>
      </c>
      <c r="O57"/>
      <c r="P57"/>
      <c r="Q57"/>
      <c r="R57"/>
      <c r="S57"/>
      <c r="T57"/>
      <c r="U57"/>
    </row>
    <row r="58" spans="1:21" ht="19.5">
      <c r="A58" s="160">
        <f>+A57+1</f>
        <v>34</v>
      </c>
      <c r="B58" s="161"/>
      <c r="C58" s="125" t="str">
        <f>"Weighted "&amp;C49&amp;" Plant (Ln "&amp;A55&amp;" + "&amp;A57&amp;")"</f>
        <v>Weighted KENTUCKY JURISDICTION Plant (Ln 31 + 33)</v>
      </c>
      <c r="D58" s="125"/>
      <c r="E58" s="162">
        <f>+E55+E57</f>
        <v>29176519.383037344</v>
      </c>
      <c r="F58" s="125"/>
      <c r="G58" s="163">
        <f>+G55+G57</f>
        <v>440456455.06488431</v>
      </c>
      <c r="H58" s="125"/>
      <c r="I58" s="162">
        <f>+I55+I57</f>
        <v>675731223.22552836</v>
      </c>
      <c r="J58" s="125"/>
      <c r="K58" s="162">
        <f>+K55+K57</f>
        <v>0.1961449459195137</v>
      </c>
      <c r="L58" s="125"/>
      <c r="M58" s="162">
        <f>SUM(E58:K58)-SUM(E57:K57)</f>
        <v>1145364198.0572705</v>
      </c>
      <c r="O58"/>
    </row>
    <row r="59" spans="1:21" ht="19.5">
      <c r="A59" s="160">
        <f>+A58+1</f>
        <v>35</v>
      </c>
      <c r="B59" s="161"/>
      <c r="C59" s="125" t="str">
        <f>"Functional Percentage (Ln "&amp;A58&amp;"/Total Ln "&amp;A58&amp;")"</f>
        <v>Functional Percentage (Ln 34/Total Ln 34)</v>
      </c>
      <c r="D59" s="125"/>
      <c r="E59" s="224">
        <f>+E58/M58</f>
        <v>2.5473573761538561E-2</v>
      </c>
      <c r="F59" s="125"/>
      <c r="G59" s="225">
        <f>+G58/M58</f>
        <v>0.38455580837254405</v>
      </c>
      <c r="H59" s="125"/>
      <c r="I59" s="224">
        <f>+I58/M58</f>
        <v>0.58997061753080959</v>
      </c>
      <c r="J59" s="125"/>
      <c r="K59"/>
      <c r="L59" s="125"/>
      <c r="M59" s="162"/>
      <c r="O59"/>
    </row>
    <row r="60" spans="1:21" ht="19.5" hidden="1">
      <c r="A60" s="160"/>
      <c r="B60" s="161"/>
      <c r="C60" s="1281" t="s">
        <v>868</v>
      </c>
      <c r="D60" s="125"/>
      <c r="E60" s="162"/>
      <c r="F60" s="125"/>
      <c r="G60" s="162"/>
      <c r="H60" s="125"/>
      <c r="I60" s="162"/>
      <c r="J60" s="125"/>
      <c r="K60" s="163"/>
      <c r="L60" s="125"/>
      <c r="M60" s="162"/>
      <c r="O60"/>
    </row>
    <row r="61" spans="1:21" ht="19.5" hidden="1">
      <c r="A61" s="160">
        <f>+A59+1</f>
        <v>36</v>
      </c>
      <c r="B61" s="161"/>
      <c r="C61" s="125" t="str">
        <f>"Percentage of Plant in "&amp;C60&amp;""</f>
        <v>Percentage of Plant in STATE JURISDICTION #2</v>
      </c>
      <c r="D61" s="125"/>
      <c r="E61" s="901"/>
      <c r="F61" s="322"/>
      <c r="G61" s="901"/>
      <c r="H61" s="322"/>
      <c r="I61" s="901"/>
      <c r="J61" s="224"/>
      <c r="K61" s="901"/>
      <c r="L61" s="125"/>
      <c r="M61" s="221"/>
      <c r="O61"/>
    </row>
    <row r="62" spans="1:21" ht="19.5" hidden="1">
      <c r="A62" s="160">
        <f t="shared" ref="A62:A69" si="2">+A61+1</f>
        <v>37</v>
      </c>
      <c r="B62" s="161"/>
      <c r="C62" s="254" t="str">
        <f>"Net Plant in "&amp;C60&amp;" (Ln "&amp;A48&amp;" * Ln "&amp;A61&amp;")"</f>
        <v>Net Plant in STATE JURISDICTION #2 (Ln 25 * Ln 36)</v>
      </c>
      <c r="D62"/>
      <c r="E62" s="162">
        <f>+E61*E48</f>
        <v>0</v>
      </c>
      <c r="F62" s="125"/>
      <c r="G62" s="162">
        <f>+G61*G48</f>
        <v>0</v>
      </c>
      <c r="H62" s="125"/>
      <c r="I62" s="162">
        <f>+I61*I48</f>
        <v>0</v>
      </c>
      <c r="J62" s="125"/>
      <c r="K62" s="162">
        <f>+K61*K48</f>
        <v>0</v>
      </c>
      <c r="L62" s="125"/>
      <c r="M62" s="162">
        <f>SUM(E62:K62)</f>
        <v>0</v>
      </c>
      <c r="O62"/>
    </row>
    <row r="63" spans="1:21" ht="19.5" hidden="1">
      <c r="A63" s="160">
        <f t="shared" si="2"/>
        <v>38</v>
      </c>
      <c r="B63" s="161"/>
      <c r="C63" s="254" t="s">
        <v>227</v>
      </c>
      <c r="D63"/>
      <c r="E63" s="1312"/>
      <c r="F63" s="125"/>
      <c r="G63" s="222"/>
      <c r="H63" s="125"/>
      <c r="I63" s="222"/>
      <c r="J63" s="125"/>
      <c r="K63" s="223"/>
      <c r="L63" s="125"/>
      <c r="M63" s="162"/>
      <c r="O63"/>
    </row>
    <row r="64" spans="1:21" ht="19.5" hidden="1">
      <c r="A64" s="160">
        <f t="shared" si="2"/>
        <v>39</v>
      </c>
      <c r="B64" s="161"/>
      <c r="C64" s="125" t="str">
        <f>"Taxable Property Basis (Ln "&amp;A62&amp;" - Ln "&amp;A63&amp;")"</f>
        <v>Taxable Property Basis (Ln 37 - Ln 38)</v>
      </c>
      <c r="D64"/>
      <c r="E64" s="162">
        <f>+E62-E63</f>
        <v>0</v>
      </c>
      <c r="F64" s="125"/>
      <c r="G64" s="162">
        <f>+G62-G63</f>
        <v>0</v>
      </c>
      <c r="H64" s="125"/>
      <c r="I64" s="162">
        <f>+I62-I63</f>
        <v>0</v>
      </c>
      <c r="J64" s="125"/>
      <c r="K64" s="162">
        <f>+K62-K63</f>
        <v>0</v>
      </c>
      <c r="L64" s="125"/>
      <c r="M64" s="162">
        <f>SUM(E64:K64)</f>
        <v>0</v>
      </c>
      <c r="O64"/>
    </row>
    <row r="65" spans="1:15" ht="19.5" hidden="1">
      <c r="A65" s="160">
        <f t="shared" si="2"/>
        <v>40</v>
      </c>
      <c r="B65" s="161"/>
      <c r="C65" s="164" t="s">
        <v>463</v>
      </c>
      <c r="D65"/>
      <c r="E65" s="901"/>
      <c r="F65" s="322"/>
      <c r="G65" s="901"/>
      <c r="H65" s="322"/>
      <c r="I65" s="901"/>
      <c r="J65" s="224"/>
      <c r="K65" s="901"/>
      <c r="L65" s="125"/>
      <c r="M65" s="216">
        <f>SUM(E65:K65)</f>
        <v>0</v>
      </c>
      <c r="O65"/>
    </row>
    <row r="66" spans="1:15" ht="19.5" hidden="1">
      <c r="A66" s="160">
        <f t="shared" si="2"/>
        <v>41</v>
      </c>
      <c r="B66" s="161"/>
      <c r="C66" s="254" t="str">
        <f>"Weighted Net Plant (Ln "&amp;A64&amp;" * Ln "&amp;A65&amp;")"</f>
        <v>Weighted Net Plant (Ln 39 * Ln 40)</v>
      </c>
      <c r="D66"/>
      <c r="E66" s="162">
        <f>+E64*E65</f>
        <v>0</v>
      </c>
      <c r="F66" s="125"/>
      <c r="G66" s="162">
        <f>+G64*G65</f>
        <v>0</v>
      </c>
      <c r="H66" s="125"/>
      <c r="I66" s="162">
        <f>+I64*I65</f>
        <v>0</v>
      </c>
      <c r="J66" s="125"/>
      <c r="K66" s="162">
        <f>+K64*K65</f>
        <v>0</v>
      </c>
      <c r="L66" s="125"/>
      <c r="M66" s="162"/>
      <c r="O66"/>
    </row>
    <row r="67" spans="1:15" ht="19.5" hidden="1">
      <c r="A67" s="160">
        <f t="shared" si="2"/>
        <v>42</v>
      </c>
      <c r="B67" s="161"/>
      <c r="C67" s="125" t="str">
        <f>+"General Plant Allocator (Ln "&amp;A66&amp;" / (Total - General Plant))"</f>
        <v>General Plant Allocator (Ln 41 / (Total - General Plant))</v>
      </c>
      <c r="D67" s="125"/>
      <c r="E67" s="165">
        <f>IF(E65=0,0,+E66/($E66+$G66+$I66))</f>
        <v>0</v>
      </c>
      <c r="F67" s="125"/>
      <c r="G67" s="165">
        <f>IF(G65=0,0,+G66/($E66+$G66+$I66))</f>
        <v>0</v>
      </c>
      <c r="H67" s="125"/>
      <c r="I67" s="165">
        <f>IF(I65=0,0,+I66/($E66+$G66+$I66))</f>
        <v>0</v>
      </c>
      <c r="J67" s="125"/>
      <c r="K67" s="165">
        <v>-1</v>
      </c>
      <c r="L67" s="125"/>
      <c r="M67" s="125"/>
      <c r="O67"/>
    </row>
    <row r="68" spans="1:15" ht="19.5" hidden="1">
      <c r="A68" s="160">
        <f t="shared" si="2"/>
        <v>43</v>
      </c>
      <c r="B68" s="161"/>
      <c r="C68" s="125" t="str">
        <f>"Functionalized General Plant (Ln "&amp;A67&amp;" * General Plant)"</f>
        <v>Functionalized General Plant (Ln 42 * General Plant)</v>
      </c>
      <c r="D68" s="125"/>
      <c r="E68" s="166">
        <f>ROUND($K66*E67,0)</f>
        <v>0</v>
      </c>
      <c r="F68" s="125"/>
      <c r="G68" s="166">
        <f>+G67*K66</f>
        <v>0</v>
      </c>
      <c r="H68" s="125"/>
      <c r="I68" s="166">
        <f>ROUND($K66*I67,0)</f>
        <v>0</v>
      </c>
      <c r="J68" s="125"/>
      <c r="K68" s="166">
        <f>ROUND($K66*K67,0)</f>
        <v>0</v>
      </c>
      <c r="L68" s="125"/>
      <c r="M68" s="162">
        <f>IF(SUM(E68:K68)&lt;&gt;0,0,0)</f>
        <v>0</v>
      </c>
      <c r="O68"/>
    </row>
    <row r="69" spans="1:15" ht="19.5" hidden="1">
      <c r="A69" s="160">
        <f t="shared" si="2"/>
        <v>44</v>
      </c>
      <c r="B69" s="161"/>
      <c r="C69" s="125" t="str">
        <f>"Weighted "&amp;C60&amp;" Plant (Ln "&amp;A66&amp;" + "&amp;A68&amp;")"</f>
        <v>Weighted STATE JURISDICTION #2 Plant (Ln 41 + 43)</v>
      </c>
      <c r="D69" s="125"/>
      <c r="E69" s="162">
        <f>+E66+E68</f>
        <v>0</v>
      </c>
      <c r="F69" s="125"/>
      <c r="G69" s="163">
        <f>+G66+G68</f>
        <v>0</v>
      </c>
      <c r="H69" s="125"/>
      <c r="I69" s="162">
        <f>+I66+I68</f>
        <v>0</v>
      </c>
      <c r="J69" s="125"/>
      <c r="K69" s="162">
        <f>+K66+K68</f>
        <v>0</v>
      </c>
      <c r="L69" s="125"/>
      <c r="M69" s="162">
        <f>SUM(E69:K69)-SUM(E68:K68)</f>
        <v>0</v>
      </c>
      <c r="O69"/>
    </row>
    <row r="70" spans="1:15" ht="19.5" hidden="1">
      <c r="A70" s="160">
        <f>+A69+1</f>
        <v>45</v>
      </c>
      <c r="B70" s="161"/>
      <c r="C70" s="125" t="str">
        <f>"Functional Percentage (Ln "&amp;A69&amp;"/Total Ln "&amp;A69&amp;")"</f>
        <v>Functional Percentage (Ln 44/Total Ln 44)</v>
      </c>
      <c r="D70" s="125"/>
      <c r="E70" s="224" t="e">
        <f>+E69/M69</f>
        <v>#DIV/0!</v>
      </c>
      <c r="F70" s="125"/>
      <c r="G70" s="225" t="e">
        <f>+G69/M69</f>
        <v>#DIV/0!</v>
      </c>
      <c r="H70" s="125"/>
      <c r="I70" s="224" t="e">
        <f>+I69/M69</f>
        <v>#DIV/0!</v>
      </c>
      <c r="J70" s="125"/>
      <c r="K70"/>
      <c r="L70" s="125"/>
      <c r="M70" s="162"/>
      <c r="O70"/>
    </row>
    <row r="71" spans="1:15" ht="19.5">
      <c r="A71" s="160"/>
      <c r="B71" s="161"/>
      <c r="C71" s="1281" t="s">
        <v>919</v>
      </c>
      <c r="D71" s="125"/>
      <c r="E71" s="327"/>
      <c r="F71" s="328"/>
      <c r="G71" s="329"/>
      <c r="H71" s="328"/>
      <c r="I71" s="327"/>
      <c r="J71" s="328"/>
      <c r="K71" s="325"/>
      <c r="L71" s="125"/>
      <c r="M71" s="162"/>
      <c r="O71"/>
    </row>
    <row r="72" spans="1:15" ht="19.5">
      <c r="A72" s="160">
        <f>+A70+1</f>
        <v>46</v>
      </c>
      <c r="B72" s="161"/>
      <c r="C72" s="125" t="str">
        <f>"Net Plant in "&amp;C71&amp;" (Ln "&amp;A48&amp;" - Ln "&amp;A51&amp;" - Ln "&amp;A62&amp;")"</f>
        <v>Net Plant in WEST VIRGINIA JURISDICTION (Ln 25 - Ln 27 - Ln 37)</v>
      </c>
      <c r="D72" s="125"/>
      <c r="E72" s="327">
        <f>+E48-E51-E62</f>
        <v>602193116.13844168</v>
      </c>
      <c r="F72" s="328"/>
      <c r="G72" s="327">
        <f>+G48-G51-G62</f>
        <v>7146729.6535941958</v>
      </c>
      <c r="H72" s="328"/>
      <c r="I72" s="327">
        <f>+I48-I51-I62</f>
        <v>22986.372933149338</v>
      </c>
      <c r="J72" s="328"/>
      <c r="K72" s="327">
        <f>+K48-K51-K62</f>
        <v>87886.368470437825</v>
      </c>
      <c r="L72" s="125"/>
      <c r="M72" s="162">
        <f>SUM(E72:K72)</f>
        <v>609450718.5334394</v>
      </c>
      <c r="O72"/>
    </row>
    <row r="73" spans="1:15" ht="19.5">
      <c r="A73" s="160">
        <f t="shared" ref="A73:A79" si="3">+A72+1</f>
        <v>47</v>
      </c>
      <c r="B73" s="161"/>
      <c r="C73" s="125" t="s">
        <v>601</v>
      </c>
      <c r="D73" s="125"/>
      <c r="E73" s="1428">
        <v>371595664.69000006</v>
      </c>
      <c r="F73" s="328"/>
      <c r="G73" s="330"/>
      <c r="H73" s="328"/>
      <c r="I73" s="330"/>
      <c r="J73" s="328"/>
      <c r="K73" s="331"/>
      <c r="L73" s="125"/>
      <c r="M73" s="162"/>
      <c r="O73"/>
    </row>
    <row r="74" spans="1:15" ht="19.5">
      <c r="A74" s="160">
        <f t="shared" si="3"/>
        <v>48</v>
      </c>
      <c r="B74" s="161"/>
      <c r="C74" s="125" t="s">
        <v>602</v>
      </c>
      <c r="D74" s="125"/>
      <c r="E74" s="327">
        <f>+E72-E73</f>
        <v>230597451.44844162</v>
      </c>
      <c r="F74" s="328"/>
      <c r="G74" s="327">
        <f>+G72-G73</f>
        <v>7146729.6535941958</v>
      </c>
      <c r="H74" s="328"/>
      <c r="I74" s="327">
        <f>+I72-I73</f>
        <v>22986.372933149338</v>
      </c>
      <c r="J74" s="328"/>
      <c r="K74" s="327">
        <f>+K72-K73</f>
        <v>87886.368470437825</v>
      </c>
      <c r="L74" s="125"/>
      <c r="M74" s="162">
        <f>SUM(E74:K74)</f>
        <v>237855053.8434394</v>
      </c>
      <c r="O74"/>
    </row>
    <row r="75" spans="1:15" ht="19.5">
      <c r="A75" s="160">
        <f t="shared" si="3"/>
        <v>49</v>
      </c>
      <c r="B75" s="161"/>
      <c r="C75" s="164" t="s">
        <v>463</v>
      </c>
      <c r="D75" s="125"/>
      <c r="E75" s="901">
        <v>1</v>
      </c>
      <c r="F75" s="322"/>
      <c r="G75" s="901">
        <v>1</v>
      </c>
      <c r="H75" s="322"/>
      <c r="I75" s="901">
        <v>1</v>
      </c>
      <c r="J75" s="224"/>
      <c r="K75" s="901">
        <v>1</v>
      </c>
      <c r="L75" s="125"/>
      <c r="M75" s="162"/>
      <c r="O75"/>
    </row>
    <row r="76" spans="1:15" ht="19.5">
      <c r="A76" s="160">
        <f t="shared" si="3"/>
        <v>50</v>
      </c>
      <c r="B76" s="161"/>
      <c r="C76" s="125" t="str">
        <f>"Weighted Net Plant (Ln "&amp;A74&amp;" * Ln "&amp;A75&amp;")"</f>
        <v>Weighted Net Plant (Ln 48 * Ln 49)</v>
      </c>
      <c r="D76" s="125"/>
      <c r="E76" s="327">
        <f>+E74*E75</f>
        <v>230597451.44844162</v>
      </c>
      <c r="F76" s="328"/>
      <c r="G76" s="327">
        <f>+G74*G75</f>
        <v>7146729.6535941958</v>
      </c>
      <c r="H76" s="328"/>
      <c r="I76" s="327">
        <f>+I74*I75</f>
        <v>22986.372933149338</v>
      </c>
      <c r="J76" s="328"/>
      <c r="K76" s="327">
        <f>+K74*K75</f>
        <v>87886.368470437825</v>
      </c>
      <c r="L76" s="125"/>
      <c r="M76" s="162"/>
      <c r="O76"/>
    </row>
    <row r="77" spans="1:15" ht="19.5">
      <c r="A77" s="160">
        <f t="shared" si="3"/>
        <v>51</v>
      </c>
      <c r="B77" s="161"/>
      <c r="C77" s="125" t="str">
        <f>+"General Plant Allocator (Ln "&amp;A76&amp;" / (Total - General Plant)"</f>
        <v>General Plant Allocator (Ln 50 / (Total - General Plant)</v>
      </c>
      <c r="D77" s="125"/>
      <c r="E77" s="332">
        <f>IF(E75=0,0,+E76/($E76+$G76+$I76))</f>
        <v>0.96984564310258636</v>
      </c>
      <c r="F77" s="328"/>
      <c r="G77" s="332">
        <f>IF(G75=0,0,+G76/($E76+$G76+$I76))</f>
        <v>3.0057680921595581E-2</v>
      </c>
      <c r="H77" s="328"/>
      <c r="I77" s="332">
        <f>IF(I75=0,0,+I76/($E76+$G76+$I76))</f>
        <v>9.6675975818104643E-5</v>
      </c>
      <c r="J77" s="328"/>
      <c r="K77" s="332">
        <v>-1</v>
      </c>
      <c r="L77" s="125"/>
      <c r="M77" s="162"/>
      <c r="O77"/>
    </row>
    <row r="78" spans="1:15" ht="19.5">
      <c r="A78" s="160">
        <f t="shared" si="3"/>
        <v>52</v>
      </c>
      <c r="B78" s="161"/>
      <c r="C78" s="125" t="str">
        <f>"Functionalized General Plant (Ln "&amp;A78&amp;" * General Plant)"</f>
        <v>Functionalized General Plant (Ln 52 * General Plant)</v>
      </c>
      <c r="D78" s="125"/>
      <c r="E78" s="333">
        <f>ROUND($K76*E77,0)</f>
        <v>85236</v>
      </c>
      <c r="F78" s="328"/>
      <c r="G78" s="333">
        <f>ROUND($K76*G77,0)</f>
        <v>2642</v>
      </c>
      <c r="H78" s="328"/>
      <c r="I78" s="333">
        <f>ROUND($K76*I77,0)</f>
        <v>8</v>
      </c>
      <c r="J78" s="328"/>
      <c r="K78" s="333">
        <f>ROUND($K76*K77,0)</f>
        <v>-87886</v>
      </c>
      <c r="L78" s="125"/>
      <c r="M78" s="162"/>
      <c r="O78"/>
    </row>
    <row r="79" spans="1:15" ht="19.5">
      <c r="A79" s="160">
        <f t="shared" si="3"/>
        <v>53</v>
      </c>
      <c r="B79" s="161"/>
      <c r="C79" s="125" t="str">
        <f>"Weighted "&amp;C71&amp;" Plant (Ln "&amp;A76&amp;" + "&amp;A78&amp;")"</f>
        <v>Weighted WEST VIRGINIA JURISDICTION Plant (Ln 50 + 52)</v>
      </c>
      <c r="D79" s="125"/>
      <c r="E79" s="327">
        <f>+E76+E78</f>
        <v>230682687.44844162</v>
      </c>
      <c r="F79" s="328"/>
      <c r="G79" s="334">
        <f>+G76+G78</f>
        <v>7149371.6535941958</v>
      </c>
      <c r="H79" s="328"/>
      <c r="I79" s="327">
        <f>+I76+I78</f>
        <v>22994.372933149338</v>
      </c>
      <c r="J79" s="328"/>
      <c r="K79" s="327">
        <f>+K76+K78</f>
        <v>0.3684704378247261</v>
      </c>
      <c r="L79" s="125"/>
      <c r="M79" s="162">
        <f>SUM(E79:K79)-SUM(E78:K78)</f>
        <v>237855053.8434394</v>
      </c>
      <c r="O79"/>
    </row>
    <row r="80" spans="1:15" ht="19.5">
      <c r="A80" s="160">
        <f>+A79+1</f>
        <v>54</v>
      </c>
      <c r="B80" s="161"/>
      <c r="C80" s="125" t="str">
        <f>"Functional Percentage (Ln "&amp;A79&amp;"/Total Ln "&amp;A79&amp;")"</f>
        <v>Functional Percentage (Ln 53/Total Ln 53)</v>
      </c>
      <c r="D80" s="125"/>
      <c r="E80" s="325">
        <f>+E79/M79</f>
        <v>0.9698456422131827</v>
      </c>
      <c r="F80" s="328"/>
      <c r="G80" s="329">
        <f>+G79/M79</f>
        <v>3.0057682349268242E-2</v>
      </c>
      <c r="H80" s="328"/>
      <c r="I80" s="325">
        <f>+I79/M79</f>
        <v>9.6673888410563934E-5</v>
      </c>
      <c r="J80" s="320"/>
      <c r="K80" s="320"/>
      <c r="L80" s="125"/>
      <c r="M80" s="162"/>
      <c r="O80"/>
    </row>
    <row r="81" spans="1:15" ht="19.5">
      <c r="A81" s="160"/>
      <c r="B81" s="161"/>
      <c r="C81" s="125"/>
      <c r="D81" s="125"/>
      <c r="E81" s="220"/>
      <c r="F81" s="125"/>
      <c r="G81" s="220"/>
      <c r="H81" s="125"/>
      <c r="I81" s="220"/>
      <c r="J81" s="125"/>
      <c r="K81"/>
      <c r="L81" s="125"/>
      <c r="M81" s="163"/>
      <c r="O81"/>
    </row>
    <row r="82" spans="1:15" ht="19.5">
      <c r="A82" s="160"/>
      <c r="B82" s="161"/>
      <c r="C82" s="125"/>
      <c r="D82" s="125"/>
      <c r="E82" s="164"/>
      <c r="F82" s="164"/>
      <c r="G82" s="164"/>
      <c r="H82" s="164"/>
      <c r="I82" s="164"/>
      <c r="J82" s="125"/>
      <c r="K82" s="220"/>
      <c r="L82" s="125"/>
      <c r="M82" s="164"/>
      <c r="O82"/>
    </row>
  </sheetData>
  <mergeCells count="7">
    <mergeCell ref="A8:M8"/>
    <mergeCell ref="A7:M7"/>
    <mergeCell ref="C46:M46"/>
    <mergeCell ref="A3:M3"/>
    <mergeCell ref="A4:M4"/>
    <mergeCell ref="A5:M5"/>
    <mergeCell ref="A6:M6"/>
  </mergeCells>
  <phoneticPr fontId="72"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5"/>
  <sheetViews>
    <sheetView view="pageBreakPreview" topLeftCell="A4" zoomScale="70" zoomScaleNormal="70" zoomScaleSheetLayoutView="70" workbookViewId="0">
      <selection activeCell="I22" sqref="I22"/>
    </sheetView>
  </sheetViews>
  <sheetFormatPr defaultColWidth="9.140625"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6.140625" style="112" customWidth="1"/>
    <col min="9" max="9" width="34" style="112" customWidth="1"/>
    <col min="10" max="16384" width="9.140625" style="112"/>
  </cols>
  <sheetData>
    <row r="1" spans="1:20" ht="15.75">
      <c r="A1" s="943" t="s">
        <v>116</v>
      </c>
    </row>
    <row r="2" spans="1:20" ht="15.75">
      <c r="A2" s="943" t="s">
        <v>116</v>
      </c>
    </row>
    <row r="3" spans="1:20" ht="18.75" customHeight="1">
      <c r="A3" s="1496" t="s">
        <v>389</v>
      </c>
      <c r="B3" s="1496"/>
      <c r="C3" s="1496"/>
      <c r="D3" s="1496"/>
      <c r="E3" s="1496"/>
      <c r="F3" s="1496"/>
    </row>
    <row r="4" spans="1:20" ht="18.75" customHeight="1">
      <c r="A4" s="1497" t="str">
        <f>"Cost of Service Formula Rate Using Actual/Projected FF1 Balances"</f>
        <v>Cost of Service Formula Rate Using Actual/Projected FF1 Balances</v>
      </c>
      <c r="B4" s="1497"/>
      <c r="C4" s="1497"/>
      <c r="D4" s="1497"/>
      <c r="E4" s="1497"/>
      <c r="F4" s="1497"/>
    </row>
    <row r="5" spans="1:20" ht="18.75" customHeight="1">
      <c r="A5" s="1497" t="s">
        <v>219</v>
      </c>
      <c r="B5" s="1497"/>
      <c r="C5" s="1497"/>
      <c r="D5" s="1497"/>
      <c r="E5" s="1497"/>
      <c r="F5" s="1497"/>
    </row>
    <row r="6" spans="1:20" ht="18" customHeight="1">
      <c r="A6" s="1504" t="str">
        <f>TCOS!F9</f>
        <v>KENTUCKY POWER COMPANY</v>
      </c>
      <c r="B6" s="1497"/>
      <c r="C6" s="1497"/>
      <c r="D6" s="1497"/>
      <c r="E6" s="1497"/>
      <c r="F6" s="1497"/>
    </row>
    <row r="7" spans="1:20" ht="18" customHeight="1">
      <c r="A7" s="1508"/>
      <c r="B7" s="1508"/>
      <c r="C7" s="1508"/>
      <c r="D7" s="1508"/>
      <c r="E7" s="1508"/>
      <c r="F7" s="1508"/>
    </row>
    <row r="8" spans="1:20" ht="19.5" customHeight="1">
      <c r="A8" s="114"/>
      <c r="B8" s="115"/>
      <c r="C8" s="37" t="s">
        <v>164</v>
      </c>
      <c r="E8" s="37" t="s">
        <v>165</v>
      </c>
      <c r="F8" s="264" t="s">
        <v>166</v>
      </c>
      <c r="G8" s="264" t="s">
        <v>167</v>
      </c>
    </row>
    <row r="9" spans="1:20" ht="18">
      <c r="A9" s="208"/>
      <c r="B9" s="209"/>
      <c r="C9" s="209"/>
      <c r="D9" s="209"/>
      <c r="E9"/>
      <c r="F9" s="16"/>
      <c r="G9" s="265"/>
      <c r="H9" s="40"/>
      <c r="I9" s="40"/>
      <c r="J9" s="40"/>
      <c r="K9" s="40"/>
      <c r="L9" s="40"/>
      <c r="M9" s="40"/>
      <c r="N9" s="40"/>
      <c r="O9" s="40"/>
      <c r="P9" s="40"/>
      <c r="Q9" s="40"/>
      <c r="R9" s="40"/>
      <c r="S9" s="40"/>
      <c r="T9" s="40"/>
    </row>
    <row r="10" spans="1:20" ht="18">
      <c r="A10" s="208" t="s">
        <v>171</v>
      </c>
      <c r="B10" s="209"/>
      <c r="C10" s="209"/>
      <c r="D10" s="209"/>
      <c r="E10" s="210" t="s">
        <v>120</v>
      </c>
      <c r="F10" s="266" t="s">
        <v>77</v>
      </c>
      <c r="G10" s="267"/>
    </row>
    <row r="11" spans="1:20" ht="18">
      <c r="A11" s="212" t="s">
        <v>119</v>
      </c>
      <c r="B11" s="268"/>
      <c r="C11" s="212" t="s">
        <v>30</v>
      </c>
      <c r="D11" s="1135"/>
      <c r="E11" s="213" t="s">
        <v>185</v>
      </c>
      <c r="F11" s="212" t="s">
        <v>78</v>
      </c>
      <c r="G11" s="213" t="s">
        <v>79</v>
      </c>
      <c r="H11" s="1135"/>
      <c r="I11" s="1135"/>
    </row>
    <row r="12" spans="1:20" ht="18">
      <c r="A12" s="116"/>
      <c r="B12" s="115"/>
      <c r="C12" s="111"/>
      <c r="D12" s="111"/>
      <c r="E12" s="111"/>
      <c r="F12" s="266"/>
      <c r="G12" s="269"/>
      <c r="H12" s="270"/>
      <c r="I12" s="1136"/>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8">
        <f>SUM(F16:F21)</f>
        <v>29496</v>
      </c>
      <c r="F15" s="125"/>
      <c r="G15" s="270"/>
      <c r="H15" s="270"/>
    </row>
    <row r="16" spans="1:20" ht="19.5">
      <c r="A16" s="114"/>
      <c r="B16" s="115"/>
      <c r="C16" s="120"/>
      <c r="D16"/>
      <c r="E16" s="277"/>
      <c r="F16" s="902">
        <v>-1199</v>
      </c>
      <c r="G16" s="903" t="s">
        <v>1319</v>
      </c>
      <c r="H16" s="1439"/>
    </row>
    <row r="17" spans="1:9" ht="19.5">
      <c r="A17" s="114"/>
      <c r="B17" s="115"/>
      <c r="C17" s="120"/>
      <c r="D17"/>
      <c r="E17" s="277"/>
      <c r="F17" s="902">
        <v>12273</v>
      </c>
      <c r="G17" s="903" t="s">
        <v>1285</v>
      </c>
      <c r="H17" s="1439"/>
    </row>
    <row r="18" spans="1:9" ht="19.5">
      <c r="A18" s="114"/>
      <c r="B18" s="115"/>
      <c r="C18" s="120"/>
      <c r="D18"/>
      <c r="E18" s="277"/>
      <c r="F18" s="902">
        <v>18422</v>
      </c>
      <c r="G18" s="903" t="s">
        <v>1286</v>
      </c>
      <c r="H18" s="270"/>
    </row>
    <row r="19" spans="1:9" ht="18" customHeight="1">
      <c r="A19" s="114"/>
      <c r="B19" s="115"/>
      <c r="C19" s="120"/>
      <c r="D19"/>
      <c r="E19" s="277"/>
      <c r="F19" s="902"/>
      <c r="G19" s="903"/>
      <c r="H19" s="270"/>
    </row>
    <row r="20" spans="1:9" ht="18" customHeight="1">
      <c r="A20" s="114"/>
      <c r="B20" s="115"/>
      <c r="C20" s="120"/>
      <c r="D20"/>
      <c r="E20" s="277"/>
      <c r="F20" s="902"/>
      <c r="G20" s="903"/>
      <c r="H20" s="270"/>
    </row>
    <row r="21" spans="1:9" ht="18" customHeight="1">
      <c r="A21" s="114"/>
      <c r="B21" s="115"/>
      <c r="C21" s="120"/>
      <c r="D21"/>
      <c r="E21" s="277"/>
      <c r="F21" s="902"/>
      <c r="G21" s="903"/>
      <c r="H21" s="270"/>
    </row>
    <row r="22" spans="1:9" ht="18" customHeight="1">
      <c r="A22" s="114"/>
      <c r="B22" s="115"/>
      <c r="C22" s="120"/>
      <c r="D22"/>
      <c r="E22" s="277"/>
      <c r="F22" s="902"/>
      <c r="G22" s="903"/>
      <c r="H22" s="270"/>
    </row>
    <row r="23" spans="1:9" ht="18" customHeight="1">
      <c r="A23" s="114"/>
      <c r="B23" s="115"/>
      <c r="C23" s="120"/>
      <c r="D23"/>
      <c r="E23" s="277"/>
      <c r="F23" s="945"/>
      <c r="G23" s="946"/>
      <c r="H23" s="270"/>
    </row>
    <row r="24" spans="1:9" ht="18" customHeight="1">
      <c r="A24" s="114"/>
      <c r="B24" s="115"/>
      <c r="C24" s="37" t="s">
        <v>164</v>
      </c>
      <c r="D24" s="37" t="s">
        <v>165</v>
      </c>
      <c r="E24" s="264" t="s">
        <v>166</v>
      </c>
      <c r="F24" s="264" t="s">
        <v>167</v>
      </c>
      <c r="G24" s="264" t="s">
        <v>85</v>
      </c>
      <c r="H24" s="1173" t="s">
        <v>86</v>
      </c>
      <c r="I24" s="264" t="s">
        <v>87</v>
      </c>
    </row>
    <row r="25" spans="1:9" ht="58.5" customHeight="1">
      <c r="A25" s="212"/>
      <c r="B25" s="268"/>
      <c r="C25" s="1174" t="s">
        <v>758</v>
      </c>
      <c r="D25" s="1175" t="s">
        <v>676</v>
      </c>
      <c r="E25" s="1176" t="s">
        <v>756</v>
      </c>
      <c r="F25" s="1177" t="s">
        <v>757</v>
      </c>
      <c r="G25" s="1178" t="s">
        <v>79</v>
      </c>
      <c r="H25" s="1176" t="s">
        <v>827</v>
      </c>
      <c r="I25" s="1177" t="s">
        <v>755</v>
      </c>
    </row>
    <row r="26" spans="1:9" ht="19.5">
      <c r="A26" s="114"/>
      <c r="B26" s="115"/>
      <c r="C26" s="326"/>
      <c r="D26" s="5"/>
      <c r="E26" s="277"/>
      <c r="F26" s="278"/>
      <c r="G26" s="1121"/>
      <c r="H26" s="270"/>
      <c r="I26" s="270"/>
    </row>
    <row r="27" spans="1:9" ht="39">
      <c r="A27" s="1119">
        <f>+A15+1</f>
        <v>3</v>
      </c>
      <c r="B27" s="1120"/>
      <c r="C27" s="1172" t="s">
        <v>754</v>
      </c>
      <c r="D27" s="1179"/>
      <c r="E27" s="1180">
        <f>E29+E39+E50+E56</f>
        <v>18127620</v>
      </c>
      <c r="F27" s="1181"/>
      <c r="G27" s="1137"/>
      <c r="H27" s="1182"/>
      <c r="I27" s="1180">
        <f>I29+I39+I50+I56</f>
        <v>5887943.6396409003</v>
      </c>
    </row>
    <row r="28" spans="1:9" ht="19.5">
      <c r="A28" s="114"/>
      <c r="B28" s="115"/>
      <c r="C28" s="118"/>
      <c r="D28"/>
      <c r="E28" s="277"/>
      <c r="F28" s="272"/>
      <c r="G28" s="1121"/>
      <c r="H28" s="1122"/>
      <c r="I28" s="1123"/>
    </row>
    <row r="29" spans="1:9" ht="19.5">
      <c r="A29" s="114">
        <f>+A27+1</f>
        <v>4</v>
      </c>
      <c r="B29" s="115"/>
      <c r="C29" s="1124" t="s">
        <v>923</v>
      </c>
      <c r="D29"/>
      <c r="E29" s="278">
        <f>SUM(F30:F37)</f>
        <v>14958169</v>
      </c>
      <c r="F29" s="272"/>
      <c r="G29" s="271"/>
      <c r="H29" s="273"/>
      <c r="I29" s="1118">
        <f>SUM(I30:I34)</f>
        <v>5714188.551177023</v>
      </c>
    </row>
    <row r="30" spans="1:9" ht="19.5">
      <c r="A30" s="114"/>
      <c r="B30" s="115"/>
      <c r="C30" s="1124"/>
      <c r="D30" s="1322">
        <v>2018</v>
      </c>
      <c r="E30" s="278"/>
      <c r="F30" s="902">
        <v>-30996</v>
      </c>
      <c r="G30" s="903" t="s">
        <v>1239</v>
      </c>
      <c r="H30" s="1323">
        <v>0.36359999999999998</v>
      </c>
      <c r="I30" s="1187">
        <f>+F30*H30</f>
        <v>-11270.1456</v>
      </c>
    </row>
    <row r="31" spans="1:9" ht="19.5">
      <c r="A31" s="114"/>
      <c r="B31" s="115"/>
      <c r="C31" s="1124"/>
      <c r="D31" s="1322">
        <v>2019</v>
      </c>
      <c r="E31" s="278"/>
      <c r="F31" s="902">
        <v>14841700</v>
      </c>
      <c r="G31" s="903" t="s">
        <v>1279</v>
      </c>
      <c r="H31" s="1323">
        <v>0.38190000000000002</v>
      </c>
      <c r="I31" s="1187">
        <f>+F31*H31</f>
        <v>5668045.2300000004</v>
      </c>
    </row>
    <row r="32" spans="1:9" ht="19.5">
      <c r="A32" s="114"/>
      <c r="B32" s="115"/>
      <c r="C32" s="1124"/>
      <c r="D32" s="1322">
        <v>2019</v>
      </c>
      <c r="E32" s="278"/>
      <c r="F32" s="902">
        <v>-265435</v>
      </c>
      <c r="G32" s="903" t="s">
        <v>1240</v>
      </c>
      <c r="H32" s="1323">
        <v>0.38190000000000002</v>
      </c>
      <c r="I32" s="1187">
        <f>+F32*H32</f>
        <v>-101369.6265</v>
      </c>
    </row>
    <row r="33" spans="1:10" ht="19.5">
      <c r="A33" s="114"/>
      <c r="B33" s="115"/>
      <c r="C33" s="1124"/>
      <c r="D33" s="1322">
        <v>2020</v>
      </c>
      <c r="E33" s="278"/>
      <c r="F33" s="902">
        <v>399900</v>
      </c>
      <c r="G33" s="903" t="s">
        <v>1280</v>
      </c>
      <c r="H33" s="1323">
        <f>'WS H Other Taxes'!G59</f>
        <v>0.38455580837254405</v>
      </c>
      <c r="I33" s="1187">
        <f t="shared" ref="I33:I48" si="0">F33*H33</f>
        <v>153783.86776818035</v>
      </c>
    </row>
    <row r="34" spans="1:10" ht="19.5">
      <c r="A34" s="114"/>
      <c r="B34" s="115"/>
      <c r="C34" s="1124"/>
      <c r="D34" s="1322">
        <v>2020</v>
      </c>
      <c r="E34" s="278"/>
      <c r="F34" s="902">
        <v>13000</v>
      </c>
      <c r="G34" s="903" t="s">
        <v>1281</v>
      </c>
      <c r="H34" s="1323">
        <f>'WS H Other Taxes'!G59</f>
        <v>0.38455580837254405</v>
      </c>
      <c r="I34" s="1187">
        <f t="shared" si="0"/>
        <v>4999.2255088430729</v>
      </c>
    </row>
    <row r="35" spans="1:10" ht="19.5">
      <c r="A35" s="114"/>
      <c r="B35" s="115"/>
      <c r="C35" s="1124"/>
      <c r="D35" s="1322"/>
      <c r="E35" s="278"/>
      <c r="F35" s="902"/>
      <c r="G35" s="903"/>
      <c r="H35" s="1323"/>
      <c r="I35" s="1187"/>
    </row>
    <row r="36" spans="1:10" ht="19.5">
      <c r="A36" s="114"/>
      <c r="B36" s="115"/>
      <c r="C36" s="1124"/>
      <c r="D36" s="1322"/>
      <c r="E36" s="278"/>
      <c r="F36" s="902"/>
      <c r="G36" s="903"/>
      <c r="H36" s="1323"/>
      <c r="I36" s="1187"/>
    </row>
    <row r="37" spans="1:10" ht="19.5">
      <c r="A37" s="114"/>
      <c r="B37" s="115"/>
      <c r="C37" s="1124"/>
      <c r="D37" s="1322"/>
      <c r="E37" s="278"/>
      <c r="F37" s="902"/>
      <c r="G37" s="903"/>
      <c r="H37" s="1323"/>
      <c r="I37" s="1187"/>
    </row>
    <row r="38" spans="1:10" ht="19.5">
      <c r="A38" s="114"/>
      <c r="B38" s="115"/>
      <c r="C38" s="1124"/>
      <c r="D38" s="902"/>
      <c r="E38" s="278"/>
      <c r="F38" s="902"/>
      <c r="G38" s="903"/>
      <c r="H38" s="1117"/>
      <c r="I38" s="1187"/>
    </row>
    <row r="39" spans="1:10" ht="19.5">
      <c r="A39" s="114">
        <f>+A29+1</f>
        <v>5</v>
      </c>
      <c r="B39" s="115"/>
      <c r="C39" s="1124" t="s">
        <v>924</v>
      </c>
      <c r="D39"/>
      <c r="E39" s="278">
        <f>SUM(F40:F46)</f>
        <v>3169451</v>
      </c>
      <c r="F39" s="164"/>
      <c r="G39" s="271"/>
      <c r="H39" s="270"/>
      <c r="I39" s="1187">
        <f>SUM(I40:I48)</f>
        <v>173755.08846387753</v>
      </c>
    </row>
    <row r="40" spans="1:10" ht="19.5">
      <c r="A40" s="114"/>
      <c r="B40" s="115"/>
      <c r="C40" s="1124"/>
      <c r="D40" s="1322">
        <v>2018</v>
      </c>
      <c r="E40" s="278"/>
      <c r="F40" s="902">
        <v>1644427</v>
      </c>
      <c r="G40" s="903" t="s">
        <v>1282</v>
      </c>
      <c r="H40" s="1323">
        <v>7.7100000000000002E-2</v>
      </c>
      <c r="I40" s="1187">
        <f>F40*H40</f>
        <v>126785.3217</v>
      </c>
      <c r="J40" s="1439"/>
    </row>
    <row r="41" spans="1:10" ht="19.5">
      <c r="A41" s="114"/>
      <c r="B41" s="115"/>
      <c r="C41" s="1124"/>
      <c r="D41" s="1322">
        <v>2019</v>
      </c>
      <c r="E41" s="278"/>
      <c r="F41" s="902">
        <v>1524246</v>
      </c>
      <c r="G41" s="903" t="s">
        <v>1283</v>
      </c>
      <c r="H41" s="1323">
        <v>3.0800000000000001E-2</v>
      </c>
      <c r="I41" s="1187">
        <f t="shared" si="0"/>
        <v>46946.7768</v>
      </c>
    </row>
    <row r="42" spans="1:10" ht="19.5">
      <c r="A42" s="114"/>
      <c r="B42" s="115"/>
      <c r="C42" s="1124"/>
      <c r="D42" s="1322">
        <v>2019</v>
      </c>
      <c r="E42" s="278"/>
      <c r="F42" s="902">
        <v>-532</v>
      </c>
      <c r="G42" s="903" t="s">
        <v>1241</v>
      </c>
      <c r="H42" s="1323">
        <v>3.0800000000000001E-2</v>
      </c>
      <c r="I42" s="1187">
        <f t="shared" si="0"/>
        <v>-16.3856</v>
      </c>
    </row>
    <row r="43" spans="1:10" ht="19.5">
      <c r="A43" s="114"/>
      <c r="B43" s="115"/>
      <c r="C43" s="1124"/>
      <c r="D43" s="1322">
        <v>2020</v>
      </c>
      <c r="E43" s="278"/>
      <c r="F43" s="902">
        <v>1310</v>
      </c>
      <c r="G43" s="903" t="s">
        <v>1284</v>
      </c>
      <c r="H43" s="1323">
        <f>'WS H Other Taxes'!G80</f>
        <v>3.0057682349268242E-2</v>
      </c>
      <c r="I43" s="1187">
        <f t="shared" si="0"/>
        <v>39.375563877541396</v>
      </c>
    </row>
    <row r="44" spans="1:10" ht="19.5">
      <c r="A44" s="114"/>
      <c r="B44" s="115"/>
      <c r="C44" s="1124"/>
      <c r="D44" s="1322"/>
      <c r="E44" s="278"/>
      <c r="F44" s="902"/>
      <c r="G44" s="903"/>
      <c r="H44" s="1323"/>
      <c r="I44" s="1187">
        <f t="shared" si="0"/>
        <v>0</v>
      </c>
    </row>
    <row r="45" spans="1:10" ht="19.5">
      <c r="A45" s="114"/>
      <c r="B45" s="115"/>
      <c r="C45" s="1124"/>
      <c r="D45" s="1322"/>
      <c r="E45" s="278"/>
      <c r="F45" s="902"/>
      <c r="G45" s="903"/>
      <c r="H45" s="1323"/>
      <c r="I45" s="1187">
        <f t="shared" si="0"/>
        <v>0</v>
      </c>
    </row>
    <row r="46" spans="1:10" ht="19.5" hidden="1">
      <c r="A46" s="114"/>
      <c r="B46" s="115"/>
      <c r="C46" s="1124"/>
      <c r="D46" s="902"/>
      <c r="E46" s="278"/>
      <c r="F46" s="902"/>
      <c r="G46" s="903"/>
      <c r="H46" s="903"/>
      <c r="I46" s="1187">
        <f t="shared" si="0"/>
        <v>0</v>
      </c>
    </row>
    <row r="47" spans="1:10" ht="19.5" hidden="1">
      <c r="A47" s="114"/>
      <c r="B47" s="115"/>
      <c r="C47" s="1124"/>
      <c r="D47" s="902"/>
      <c r="E47" s="278"/>
      <c r="F47" s="902"/>
      <c r="G47" s="903"/>
      <c r="H47" s="903"/>
      <c r="I47" s="1187">
        <f t="shared" si="0"/>
        <v>0</v>
      </c>
    </row>
    <row r="48" spans="1:10" ht="19.5" hidden="1">
      <c r="A48" s="114"/>
      <c r="B48" s="115"/>
      <c r="C48" s="1124"/>
      <c r="D48" s="902"/>
      <c r="E48" s="278"/>
      <c r="F48" s="902"/>
      <c r="G48" s="903"/>
      <c r="H48" s="903"/>
      <c r="I48" s="1187">
        <f t="shared" si="0"/>
        <v>0</v>
      </c>
    </row>
    <row r="49" spans="1:9" ht="19.5">
      <c r="A49" s="114"/>
      <c r="B49" s="115"/>
      <c r="C49" s="1124"/>
      <c r="D49" s="113"/>
      <c r="E49" s="278"/>
      <c r="F49" s="6"/>
      <c r="G49" s="316"/>
      <c r="H49" s="270"/>
      <c r="I49" s="270"/>
    </row>
    <row r="50" spans="1:9" ht="19.5" hidden="1">
      <c r="A50" s="114">
        <f>+A39+1</f>
        <v>6</v>
      </c>
      <c r="B50" s="115"/>
      <c r="C50" s="1124" t="s">
        <v>600</v>
      </c>
      <c r="D50" s="232"/>
      <c r="E50" s="278">
        <f>SUM(F51:F54)</f>
        <v>0</v>
      </c>
      <c r="F50" s="125" t="s">
        <v>116</v>
      </c>
      <c r="G50" s="316" t="s">
        <v>116</v>
      </c>
      <c r="H50" s="270"/>
      <c r="I50" s="1188">
        <f>SUM(I51:I55)</f>
        <v>0</v>
      </c>
    </row>
    <row r="51" spans="1:9" ht="19.5" hidden="1">
      <c r="A51" s="114"/>
      <c r="B51" s="115"/>
      <c r="C51" s="1124"/>
      <c r="D51" s="902"/>
      <c r="E51" s="278"/>
      <c r="F51" s="902"/>
      <c r="G51" s="903"/>
      <c r="H51" s="1282">
        <v>0</v>
      </c>
      <c r="I51" s="1187">
        <f>F51*H51</f>
        <v>0</v>
      </c>
    </row>
    <row r="52" spans="1:9" ht="19.5" hidden="1">
      <c r="A52" s="114"/>
      <c r="B52" s="115"/>
      <c r="C52" s="1124"/>
      <c r="D52" s="902"/>
      <c r="E52" s="278"/>
      <c r="F52" s="902"/>
      <c r="G52" s="903"/>
      <c r="H52" s="903"/>
      <c r="I52" s="1187">
        <f>F52*H52</f>
        <v>0</v>
      </c>
    </row>
    <row r="53" spans="1:9" ht="19.5" hidden="1">
      <c r="A53" s="114"/>
      <c r="B53" s="115"/>
      <c r="C53" s="1124"/>
      <c r="D53" s="902"/>
      <c r="E53" s="278"/>
      <c r="F53" s="902"/>
      <c r="G53" s="903"/>
      <c r="H53" s="903"/>
      <c r="I53" s="1187">
        <f>F53*H53</f>
        <v>0</v>
      </c>
    </row>
    <row r="54" spans="1:9" ht="19.5" hidden="1">
      <c r="A54" s="114"/>
      <c r="B54" s="115"/>
      <c r="C54" s="1124"/>
      <c r="D54" s="902"/>
      <c r="E54" s="278"/>
      <c r="F54" s="902"/>
      <c r="G54" s="903"/>
      <c r="H54" s="903"/>
      <c r="I54" s="1187">
        <f>F54*H54</f>
        <v>0</v>
      </c>
    </row>
    <row r="55" spans="1:9" ht="19.5" hidden="1">
      <c r="A55" s="114"/>
      <c r="B55" s="115"/>
      <c r="C55" s="1124"/>
      <c r="D55" s="902"/>
      <c r="E55" s="278"/>
      <c r="F55" s="902"/>
      <c r="G55" s="903"/>
      <c r="H55" s="903"/>
      <c r="I55" s="1187">
        <f>F55*H55</f>
        <v>0</v>
      </c>
    </row>
    <row r="56" spans="1:9" ht="19.5" hidden="1">
      <c r="A56" s="114"/>
      <c r="B56" s="115"/>
      <c r="C56" s="1124"/>
      <c r="D56" s="232"/>
      <c r="E56" s="278">
        <f>SUM(F57:F59)</f>
        <v>0</v>
      </c>
      <c r="F56" s="315"/>
      <c r="G56" s="316"/>
      <c r="H56" s="270"/>
      <c r="I56" s="1188">
        <f>SUM(I57:I59)</f>
        <v>0</v>
      </c>
    </row>
    <row r="57" spans="1:9" ht="19.5" hidden="1">
      <c r="A57" s="114">
        <f>A50+1</f>
        <v>7</v>
      </c>
      <c r="B57" s="115"/>
      <c r="C57" s="1124" t="s">
        <v>465</v>
      </c>
      <c r="D57" s="902"/>
      <c r="E57" s="278"/>
      <c r="F57" s="902"/>
      <c r="G57" s="903"/>
      <c r="H57" s="1282">
        <v>0</v>
      </c>
      <c r="I57" s="1187">
        <f>F57*H57</f>
        <v>0</v>
      </c>
    </row>
    <row r="58" spans="1:9" ht="19.5">
      <c r="A58" s="114"/>
      <c r="B58" s="115"/>
      <c r="C58" s="113"/>
      <c r="D58" s="902"/>
      <c r="E58" s="278"/>
      <c r="F58" s="902"/>
      <c r="G58" s="903"/>
      <c r="H58" s="903"/>
      <c r="I58" s="1187">
        <f>F58*H58</f>
        <v>0</v>
      </c>
    </row>
    <row r="59" spans="1:9" ht="19.5">
      <c r="A59" s="114"/>
      <c r="B59" s="115"/>
      <c r="C59" s="113"/>
      <c r="D59" s="902"/>
      <c r="E59" s="278"/>
      <c r="F59" s="902"/>
      <c r="G59" s="903"/>
      <c r="H59" s="903"/>
      <c r="I59" s="1187">
        <f>F59*H59</f>
        <v>0</v>
      </c>
    </row>
    <row r="60" spans="1:9" ht="19.5">
      <c r="A60" s="1138"/>
      <c r="B60" s="1139"/>
      <c r="C60" s="1140"/>
      <c r="D60" s="1141"/>
      <c r="E60" s="1142"/>
      <c r="F60" s="1141"/>
      <c r="G60" s="1143"/>
      <c r="H60" s="1143"/>
      <c r="I60" s="1144"/>
    </row>
    <row r="61" spans="1:9" ht="19.5">
      <c r="A61" s="114"/>
      <c r="B61" s="115"/>
      <c r="C61" s="113"/>
      <c r="D61" s="232"/>
      <c r="E61" s="278"/>
      <c r="F61" s="315"/>
      <c r="G61" s="316"/>
      <c r="H61" s="270"/>
    </row>
    <row r="62" spans="1:9" ht="18">
      <c r="A62" s="114"/>
      <c r="B62" s="115"/>
      <c r="C62" s="37" t="s">
        <v>164</v>
      </c>
      <c r="E62" s="37" t="s">
        <v>165</v>
      </c>
      <c r="F62" s="264" t="s">
        <v>166</v>
      </c>
      <c r="G62" s="264" t="s">
        <v>167</v>
      </c>
      <c r="H62" s="270"/>
    </row>
    <row r="63" spans="1:9" ht="18">
      <c r="A63" s="208"/>
      <c r="B63" s="209"/>
      <c r="C63" s="209"/>
      <c r="D63" s="209"/>
      <c r="E63"/>
      <c r="F63" s="16"/>
      <c r="G63" s="265"/>
      <c r="H63" s="270"/>
    </row>
    <row r="64" spans="1:9" ht="18">
      <c r="A64" s="208" t="s">
        <v>171</v>
      </c>
      <c r="B64" s="209"/>
      <c r="C64" s="209"/>
      <c r="D64" s="209"/>
      <c r="E64" s="210" t="s">
        <v>120</v>
      </c>
      <c r="F64" s="266" t="s">
        <v>77</v>
      </c>
      <c r="G64" s="267"/>
      <c r="H64" s="270"/>
    </row>
    <row r="65" spans="1:8" ht="18">
      <c r="A65" s="212" t="s">
        <v>119</v>
      </c>
      <c r="B65" s="268"/>
      <c r="C65" s="212" t="s">
        <v>30</v>
      </c>
      <c r="D65" s="1135"/>
      <c r="E65" s="213" t="s">
        <v>185</v>
      </c>
      <c r="F65" s="212" t="s">
        <v>78</v>
      </c>
      <c r="G65" s="213" t="s">
        <v>79</v>
      </c>
      <c r="H65" s="270"/>
    </row>
    <row r="66" spans="1:8" ht="19.5">
      <c r="A66" s="114">
        <f>+A57+1</f>
        <v>8</v>
      </c>
      <c r="B66" s="115"/>
      <c r="C66" s="118" t="s">
        <v>327</v>
      </c>
      <c r="D66" s="115"/>
      <c r="E66" s="277"/>
      <c r="F66" s="273" t="s">
        <v>116</v>
      </c>
      <c r="G66" s="271"/>
      <c r="H66" s="270"/>
    </row>
    <row r="67" spans="1:8" ht="19.5">
      <c r="A67" s="114">
        <f>+A66+1</f>
        <v>9</v>
      </c>
      <c r="B67" s="115"/>
      <c r="C67" s="113" t="s">
        <v>323</v>
      </c>
      <c r="D67" s="115"/>
      <c r="E67" s="278">
        <f>SUM(F68)</f>
        <v>1855431</v>
      </c>
      <c r="F67" s="274"/>
      <c r="G67" s="271"/>
      <c r="H67" s="270"/>
    </row>
    <row r="68" spans="1:8" ht="19.5">
      <c r="A68" s="114"/>
      <c r="B68" s="115"/>
      <c r="C68" s="113"/>
      <c r="D68" s="115"/>
      <c r="E68" s="278"/>
      <c r="F68" s="902">
        <v>1855431</v>
      </c>
      <c r="G68" s="903" t="s">
        <v>1128</v>
      </c>
      <c r="H68" s="270"/>
    </row>
    <row r="69" spans="1:8" ht="19.5">
      <c r="A69" s="114">
        <f>+A67+1</f>
        <v>10</v>
      </c>
      <c r="B69" s="115"/>
      <c r="C69" s="113" t="s">
        <v>316</v>
      </c>
      <c r="D69" s="115"/>
      <c r="E69" s="278">
        <f>SUM(F70)</f>
        <v>1816</v>
      </c>
      <c r="F69" s="125"/>
      <c r="G69" s="328"/>
      <c r="H69" s="270"/>
    </row>
    <row r="70" spans="1:8" ht="19.5">
      <c r="A70" s="114"/>
      <c r="B70" s="115"/>
      <c r="C70" s="113"/>
      <c r="D70" s="115"/>
      <c r="E70" s="278"/>
      <c r="F70" s="902">
        <v>1816</v>
      </c>
      <c r="G70" s="903" t="s">
        <v>1129</v>
      </c>
      <c r="H70" s="270"/>
    </row>
    <row r="71" spans="1:8" ht="19.5">
      <c r="A71" s="114">
        <f>+A69+1</f>
        <v>11</v>
      </c>
      <c r="B71" s="115"/>
      <c r="C71" s="113" t="s">
        <v>317</v>
      </c>
      <c r="D71" s="115"/>
      <c r="E71" s="278">
        <f>SUM(F72:F76)</f>
        <v>7453</v>
      </c>
      <c r="F71" s="125"/>
      <c r="G71" s="271"/>
      <c r="H71" s="270"/>
    </row>
    <row r="72" spans="1:8" ht="19.5">
      <c r="A72" s="114"/>
      <c r="B72" s="115"/>
      <c r="C72" s="113"/>
      <c r="D72" s="115"/>
      <c r="E72" s="278"/>
      <c r="F72" s="902">
        <v>5826</v>
      </c>
      <c r="G72" s="903" t="s">
        <v>1273</v>
      </c>
      <c r="H72" s="270"/>
    </row>
    <row r="73" spans="1:8" ht="19.5">
      <c r="A73" s="114"/>
      <c r="B73" s="115"/>
      <c r="C73" s="113"/>
      <c r="D73" s="115"/>
      <c r="E73" s="278"/>
      <c r="F73" s="902">
        <v>1627</v>
      </c>
      <c r="G73" s="903" t="s">
        <v>1244</v>
      </c>
      <c r="H73" s="270"/>
    </row>
    <row r="74" spans="1:8" ht="19.5">
      <c r="A74" s="114"/>
      <c r="B74" s="115"/>
      <c r="C74" s="113"/>
      <c r="D74" s="115"/>
      <c r="E74" s="278"/>
      <c r="F74" s="902"/>
      <c r="G74" s="903"/>
      <c r="H74" s="270"/>
    </row>
    <row r="75" spans="1:8" ht="19.5" hidden="1">
      <c r="A75" s="112"/>
      <c r="B75" s="112"/>
      <c r="C75" s="112"/>
      <c r="D75" s="115"/>
      <c r="E75" s="277"/>
      <c r="F75" s="902"/>
      <c r="G75" s="903"/>
      <c r="H75" s="270"/>
    </row>
    <row r="76" spans="1:8" ht="19.5" hidden="1">
      <c r="A76" s="112"/>
      <c r="B76" s="112"/>
      <c r="C76" s="112"/>
      <c r="D76" s="115"/>
      <c r="E76" s="277"/>
      <c r="F76" s="902"/>
      <c r="G76" s="903"/>
      <c r="H76" s="270"/>
    </row>
    <row r="77" spans="1:8" ht="19.5">
      <c r="A77" s="114">
        <f>A71+1</f>
        <v>12</v>
      </c>
      <c r="B77" s="115"/>
      <c r="C77" s="118" t="s">
        <v>442</v>
      </c>
      <c r="D77" s="115"/>
      <c r="E77" s="278">
        <f>SUM(F78:F78)</f>
        <v>0</v>
      </c>
      <c r="F77" s="315"/>
      <c r="G77" s="316"/>
      <c r="H77" s="270"/>
    </row>
    <row r="78" spans="1:8" ht="19.5">
      <c r="A78" s="114">
        <f>+A77+1</f>
        <v>13</v>
      </c>
      <c r="B78" s="115"/>
      <c r="C78" s="125" t="s">
        <v>443</v>
      </c>
      <c r="D78" s="232"/>
      <c r="E78" s="278"/>
      <c r="F78" s="902"/>
      <c r="G78" s="903"/>
      <c r="H78" s="270"/>
    </row>
    <row r="79" spans="1:8" ht="19.5">
      <c r="A79" s="114"/>
      <c r="B79" s="115"/>
      <c r="C79" s="110"/>
      <c r="D79" s="115"/>
      <c r="E79" s="282"/>
      <c r="F79" s="315"/>
      <c r="G79" s="110"/>
      <c r="H79" s="270"/>
    </row>
    <row r="80" spans="1:8" ht="19.5">
      <c r="A80" s="122">
        <f>+A78+1</f>
        <v>14</v>
      </c>
      <c r="B80" s="115"/>
      <c r="C80" s="118" t="s">
        <v>324</v>
      </c>
      <c r="D80" s="124"/>
      <c r="E80" s="277"/>
      <c r="F80" s="125"/>
      <c r="G80" s="110"/>
      <c r="H80" s="270"/>
    </row>
    <row r="81" spans="1:8" ht="19.5">
      <c r="A81" s="122">
        <f>A80+1</f>
        <v>15</v>
      </c>
      <c r="B81" s="123"/>
      <c r="C81" s="110" t="s">
        <v>441</v>
      </c>
      <c r="D81" s="124"/>
      <c r="E81" s="278">
        <f>SUM(F82:F83)</f>
        <v>6153176</v>
      </c>
      <c r="F81" s="125"/>
      <c r="G81" s="110"/>
      <c r="H81" s="270"/>
    </row>
    <row r="82" spans="1:8" ht="19.5">
      <c r="A82" s="122"/>
      <c r="B82" s="123"/>
      <c r="C82" s="110"/>
      <c r="D82" s="112"/>
      <c r="E82" s="282"/>
      <c r="F82" s="902">
        <v>-126514</v>
      </c>
      <c r="G82" s="903" t="s">
        <v>1276</v>
      </c>
      <c r="H82" s="270"/>
    </row>
    <row r="83" spans="1:8" ht="19.5">
      <c r="A83" s="122"/>
      <c r="B83" s="123"/>
      <c r="C83" s="110"/>
      <c r="D83" s="112"/>
      <c r="E83" s="282"/>
      <c r="F83" s="902">
        <v>6279690</v>
      </c>
      <c r="G83" s="903" t="s">
        <v>1275</v>
      </c>
      <c r="H83" s="270"/>
    </row>
    <row r="84" spans="1:8" ht="19.5">
      <c r="A84" s="122"/>
      <c r="B84" s="123"/>
      <c r="C84" s="110"/>
      <c r="D84" s="112"/>
      <c r="E84" s="282"/>
      <c r="F84" s="902"/>
      <c r="G84" s="903"/>
      <c r="H84" s="270"/>
    </row>
    <row r="85" spans="1:8" ht="19.5">
      <c r="A85" s="114">
        <f>A81+1</f>
        <v>16</v>
      </c>
      <c r="B85" s="123"/>
      <c r="C85" s="110" t="s">
        <v>318</v>
      </c>
      <c r="D85" s="115"/>
      <c r="E85" s="278">
        <f>SUM(F86:F87)</f>
        <v>1180726</v>
      </c>
      <c r="F85" s="125"/>
      <c r="G85" s="110"/>
      <c r="H85" s="270"/>
    </row>
    <row r="86" spans="1:8" ht="19.5">
      <c r="A86" s="114"/>
      <c r="B86" s="123"/>
      <c r="C86" s="110"/>
      <c r="D86" s="115"/>
      <c r="E86" s="164"/>
      <c r="F86" s="902">
        <v>598458</v>
      </c>
      <c r="G86" s="903" t="s">
        <v>1274</v>
      </c>
      <c r="H86" s="270"/>
    </row>
    <row r="87" spans="1:8" ht="19.5">
      <c r="A87" s="114"/>
      <c r="B87" s="123"/>
      <c r="C87" s="110"/>
      <c r="D87" s="115"/>
      <c r="E87" s="164"/>
      <c r="F87" s="902">
        <v>582268</v>
      </c>
      <c r="G87" s="903" t="s">
        <v>1243</v>
      </c>
      <c r="H87" s="270"/>
    </row>
    <row r="88" spans="1:8" ht="19.5">
      <c r="A88" s="114"/>
      <c r="B88" s="123"/>
      <c r="C88" s="110"/>
      <c r="D88" s="115"/>
      <c r="E88" s="164"/>
      <c r="F88" s="902"/>
      <c r="G88" s="903"/>
      <c r="H88" s="270"/>
    </row>
    <row r="89" spans="1:8" ht="19.5">
      <c r="A89" s="114">
        <f>+A85+1</f>
        <v>17</v>
      </c>
      <c r="B89" s="115"/>
      <c r="C89" s="110" t="s">
        <v>319</v>
      </c>
      <c r="D89"/>
      <c r="E89" s="278">
        <f>SUM(F90:F97)</f>
        <v>528559</v>
      </c>
      <c r="H89" s="270"/>
    </row>
    <row r="90" spans="1:8" ht="19.5">
      <c r="A90" s="114"/>
      <c r="B90" s="115"/>
      <c r="C90" s="110"/>
      <c r="D90"/>
      <c r="E90" s="164"/>
      <c r="F90" s="902">
        <v>-200</v>
      </c>
      <c r="G90" s="903" t="s">
        <v>1277</v>
      </c>
      <c r="H90" s="270"/>
    </row>
    <row r="91" spans="1:8" ht="19.5">
      <c r="A91" s="114"/>
      <c r="B91" s="115"/>
      <c r="C91" s="110"/>
      <c r="D91"/>
      <c r="E91" s="164"/>
      <c r="F91" s="902">
        <v>-100</v>
      </c>
      <c r="G91" s="903" t="s">
        <v>1133</v>
      </c>
      <c r="H91" s="270"/>
    </row>
    <row r="92" spans="1:8" ht="19.5">
      <c r="A92" s="114"/>
      <c r="B92" s="115"/>
      <c r="C92" s="110"/>
      <c r="D92"/>
      <c r="E92" s="164"/>
      <c r="F92" s="902">
        <v>-25556</v>
      </c>
      <c r="G92" s="903" t="s">
        <v>1132</v>
      </c>
      <c r="H92" s="270"/>
    </row>
    <row r="93" spans="1:8" ht="19.5">
      <c r="A93" s="114"/>
      <c r="B93" s="115"/>
      <c r="C93" s="110"/>
      <c r="D93"/>
      <c r="E93" s="164"/>
      <c r="F93" s="902">
        <v>554415</v>
      </c>
      <c r="G93" s="903" t="s">
        <v>1242</v>
      </c>
      <c r="H93" s="270"/>
    </row>
    <row r="94" spans="1:8" ht="19.5">
      <c r="A94" s="114"/>
      <c r="B94" s="115"/>
      <c r="C94" s="110"/>
      <c r="D94"/>
      <c r="E94" s="164"/>
      <c r="F94" s="902"/>
      <c r="G94" s="903"/>
      <c r="H94" s="270"/>
    </row>
    <row r="95" spans="1:8" ht="19.5">
      <c r="A95" s="114"/>
      <c r="B95" s="115"/>
      <c r="C95" s="110"/>
      <c r="D95"/>
      <c r="E95" s="164"/>
      <c r="F95" s="902"/>
      <c r="G95" s="903"/>
      <c r="H95" s="270"/>
    </row>
    <row r="96" spans="1:8" ht="19.5">
      <c r="A96" s="114"/>
      <c r="B96" s="115"/>
      <c r="C96" s="110"/>
      <c r="D96"/>
      <c r="E96" s="164"/>
      <c r="F96" s="902"/>
      <c r="G96" s="903"/>
      <c r="H96" s="270"/>
    </row>
    <row r="97" spans="1:8" ht="19.5">
      <c r="A97" s="114"/>
      <c r="B97" s="115"/>
      <c r="C97" s="110"/>
      <c r="D97"/>
      <c r="E97" s="164"/>
      <c r="F97" s="902"/>
      <c r="G97" s="903"/>
      <c r="H97" s="270"/>
    </row>
    <row r="98" spans="1:8" ht="19.5">
      <c r="A98" s="114"/>
      <c r="B98" s="115"/>
      <c r="C98" s="110"/>
      <c r="D98"/>
      <c r="E98" s="164"/>
      <c r="F98" s="125"/>
      <c r="G98" s="110"/>
      <c r="H98" s="270"/>
    </row>
    <row r="99" spans="1:8" ht="19.5">
      <c r="A99" s="114">
        <f>+A89+1</f>
        <v>18</v>
      </c>
      <c r="B99" s="115"/>
      <c r="C99" s="110" t="s">
        <v>320</v>
      </c>
      <c r="D99"/>
      <c r="E99" s="278">
        <f>SUM(F100:F105)</f>
        <v>0</v>
      </c>
      <c r="F99" s="125"/>
      <c r="G99" s="110"/>
      <c r="H99" s="270"/>
    </row>
    <row r="100" spans="1:8" ht="19.5">
      <c r="A100" s="114"/>
      <c r="B100" s="115"/>
      <c r="C100" s="110"/>
      <c r="D100"/>
      <c r="E100" s="164"/>
      <c r="F100" s="902"/>
      <c r="G100" s="903"/>
      <c r="H100" s="270"/>
    </row>
    <row r="101" spans="1:8" ht="19.5">
      <c r="A101" s="114"/>
      <c r="B101" s="115"/>
      <c r="C101" s="110"/>
      <c r="D101"/>
      <c r="E101" s="164"/>
      <c r="F101" s="902"/>
      <c r="G101" s="903"/>
      <c r="H101" s="270"/>
    </row>
    <row r="102" spans="1:8" ht="19.5">
      <c r="A102" s="114"/>
      <c r="B102" s="115"/>
      <c r="C102" s="110"/>
      <c r="D102"/>
      <c r="E102" s="164"/>
      <c r="F102" s="902"/>
      <c r="G102" s="903"/>
      <c r="H102" s="270"/>
    </row>
    <row r="103" spans="1:8" ht="19.5">
      <c r="A103" s="114"/>
      <c r="B103" s="115"/>
      <c r="C103" s="110"/>
      <c r="D103"/>
      <c r="E103" s="164"/>
      <c r="F103" s="902"/>
      <c r="G103" s="903"/>
      <c r="H103" s="270"/>
    </row>
    <row r="104" spans="1:8" ht="19.5">
      <c r="A104" s="114"/>
      <c r="B104" s="115"/>
      <c r="C104" s="110"/>
      <c r="D104"/>
      <c r="E104" s="164"/>
      <c r="F104" s="902"/>
      <c r="G104" s="903"/>
      <c r="H104" s="270"/>
    </row>
    <row r="105" spans="1:8" ht="19.5">
      <c r="A105" s="114"/>
      <c r="B105" s="115"/>
      <c r="C105" s="110"/>
      <c r="D105"/>
      <c r="E105" s="164"/>
      <c r="F105" s="902"/>
      <c r="G105" s="903"/>
      <c r="H105" s="270"/>
    </row>
    <row r="106" spans="1:8" ht="19.5">
      <c r="A106" s="114">
        <f>+A99+1</f>
        <v>19</v>
      </c>
      <c r="B106" s="115"/>
      <c r="C106" s="110" t="s">
        <v>321</v>
      </c>
      <c r="D106" s="115"/>
      <c r="E106" s="278">
        <f>SUM(F107:F108)</f>
        <v>0</v>
      </c>
      <c r="F106" s="125"/>
      <c r="G106" s="316"/>
      <c r="H106" s="270"/>
    </row>
    <row r="107" spans="1:8" ht="19.5">
      <c r="A107" s="114"/>
      <c r="B107" s="115"/>
      <c r="C107" s="110"/>
      <c r="D107" s="115"/>
      <c r="E107" s="278"/>
      <c r="F107" s="902"/>
      <c r="G107" s="903"/>
      <c r="H107" s="270"/>
    </row>
    <row r="108" spans="1:8" ht="19.5">
      <c r="A108" s="114"/>
      <c r="B108" s="115"/>
      <c r="C108" s="110"/>
      <c r="D108" s="115"/>
      <c r="E108" s="282"/>
      <c r="F108" s="902"/>
      <c r="G108" s="903"/>
      <c r="H108" s="270"/>
    </row>
    <row r="109" spans="1:8" ht="19.5">
      <c r="A109" s="114">
        <f>+A106+1</f>
        <v>20</v>
      </c>
      <c r="B109" s="115"/>
      <c r="C109" s="110" t="s">
        <v>322</v>
      </c>
      <c r="D109" s="112"/>
      <c r="E109" s="278">
        <f>SUM(F110:F113)</f>
        <v>90295</v>
      </c>
      <c r="G109" s="110"/>
      <c r="H109" s="270"/>
    </row>
    <row r="110" spans="1:8" ht="19.5">
      <c r="A110" s="114"/>
      <c r="B110" s="115"/>
      <c r="C110" s="110"/>
      <c r="D110" s="115"/>
      <c r="E110" s="164"/>
      <c r="F110" s="902">
        <v>1364</v>
      </c>
      <c r="G110" s="903" t="s">
        <v>1278</v>
      </c>
      <c r="H110" s="270"/>
    </row>
    <row r="111" spans="1:8" ht="19.5">
      <c r="A111" s="114"/>
      <c r="B111" s="115"/>
      <c r="C111" s="110"/>
      <c r="D111" s="115"/>
      <c r="E111" s="164"/>
      <c r="F111" s="902">
        <v>47031</v>
      </c>
      <c r="G111" s="903" t="s">
        <v>1245</v>
      </c>
      <c r="H111" s="270"/>
    </row>
    <row r="112" spans="1:8" ht="19.5">
      <c r="A112" s="114"/>
      <c r="B112" s="115"/>
      <c r="C112" s="110"/>
      <c r="D112" s="115"/>
      <c r="E112" s="164"/>
      <c r="F112" s="902">
        <v>41900</v>
      </c>
      <c r="G112" s="903" t="s">
        <v>1287</v>
      </c>
      <c r="H112" s="270"/>
    </row>
    <row r="113" spans="1:9" ht="19.5">
      <c r="A113" s="114"/>
      <c r="B113" s="115"/>
      <c r="C113" s="110"/>
      <c r="D113" s="115"/>
      <c r="E113" s="164"/>
      <c r="F113" s="125"/>
      <c r="G113" s="110"/>
      <c r="H113" s="270"/>
    </row>
    <row r="114" spans="1:9" ht="19.5">
      <c r="A114" s="114">
        <f>+A109+1</f>
        <v>21</v>
      </c>
      <c r="B114" s="115"/>
      <c r="C114" s="110" t="s">
        <v>310</v>
      </c>
      <c r="D114" s="110"/>
      <c r="E114" s="278">
        <f>SUM(F115:F116)</f>
        <v>5572</v>
      </c>
      <c r="F114" s="125"/>
      <c r="G114" s="110"/>
      <c r="H114" s="270"/>
    </row>
    <row r="115" spans="1:9" ht="19.5">
      <c r="A115" s="114"/>
      <c r="B115" s="115"/>
      <c r="C115" s="110"/>
      <c r="D115" s="110"/>
      <c r="E115" s="164"/>
      <c r="F115" s="902">
        <v>973</v>
      </c>
      <c r="G115" s="903" t="s">
        <v>1130</v>
      </c>
      <c r="H115" s="270"/>
    </row>
    <row r="116" spans="1:9" ht="19.5">
      <c r="A116" s="114"/>
      <c r="B116" s="115"/>
      <c r="C116" s="110"/>
      <c r="D116" s="110"/>
      <c r="E116" s="164"/>
      <c r="F116" s="902">
        <v>4599</v>
      </c>
      <c r="G116" s="903" t="s">
        <v>1131</v>
      </c>
      <c r="H116" s="270"/>
    </row>
    <row r="117" spans="1:9" ht="19.5">
      <c r="A117" s="114">
        <f>+A114+1</f>
        <v>22</v>
      </c>
      <c r="B117" s="110"/>
      <c r="C117" s="136" t="s">
        <v>108</v>
      </c>
      <c r="D117" s="125"/>
      <c r="E117" s="278">
        <f>SUM(F118:F118)</f>
        <v>0</v>
      </c>
      <c r="F117" s="275"/>
      <c r="G117" s="110"/>
      <c r="H117" s="270"/>
    </row>
    <row r="118" spans="1:9" ht="19.5">
      <c r="A118" s="114"/>
      <c r="B118" s="110"/>
      <c r="C118" s="136"/>
      <c r="D118" s="125"/>
      <c r="E118" s="164"/>
      <c r="F118" s="902"/>
      <c r="G118" s="903"/>
    </row>
    <row r="119" spans="1:9" ht="19.5">
      <c r="A119" s="6"/>
      <c r="B119" s="110"/>
      <c r="C119" s="252"/>
      <c r="D119"/>
      <c r="E119"/>
      <c r="F119" s="251"/>
      <c r="G119" s="276"/>
    </row>
    <row r="120" spans="1:9" ht="20.25" thickBot="1">
      <c r="A120" s="245">
        <f>+A117+1</f>
        <v>23</v>
      </c>
      <c r="B120" s="252"/>
      <c r="C120" s="110" t="s">
        <v>313</v>
      </c>
      <c r="D120"/>
      <c r="E120" s="135">
        <f>E15+E27+E67+E69+E71+E81+E85+E109+E99+E106+E114+E89</f>
        <v>27980144</v>
      </c>
      <c r="F120" s="1452">
        <f>SUM(F15:F118)</f>
        <v>27980144</v>
      </c>
      <c r="G120" s="110"/>
    </row>
    <row r="121" spans="1:9" ht="20.25" thickTop="1">
      <c r="A121" s="6"/>
      <c r="B121" s="252"/>
      <c r="C121" s="110" t="s">
        <v>383</v>
      </c>
      <c r="D121"/>
      <c r="E121"/>
      <c r="F121" s="275"/>
      <c r="G121" s="110"/>
    </row>
    <row r="122" spans="1:9" ht="21">
      <c r="A122" s="6"/>
      <c r="B122" s="252"/>
      <c r="C122" s="110"/>
      <c r="D122"/>
      <c r="E122" s="292"/>
      <c r="F122" s="166" t="s">
        <v>116</v>
      </c>
      <c r="G122" s="110"/>
      <c r="I122" s="1425"/>
    </row>
    <row r="123" spans="1:9" ht="20.25" customHeight="1">
      <c r="A123" s="1538" t="s">
        <v>768</v>
      </c>
      <c r="B123" s="1538"/>
      <c r="C123" s="1538"/>
      <c r="D123" s="1538"/>
      <c r="E123" s="1538"/>
      <c r="F123" s="1538"/>
      <c r="G123" s="1538"/>
    </row>
    <row r="124" spans="1:9" ht="20.25" customHeight="1">
      <c r="A124" s="1538"/>
      <c r="B124" s="1538"/>
      <c r="C124" s="1538"/>
      <c r="D124" s="1538"/>
      <c r="E124" s="1538"/>
      <c r="F124" s="1538"/>
      <c r="G124" s="1538"/>
    </row>
    <row r="125" spans="1:9" ht="20.25" customHeight="1">
      <c r="A125" s="1538"/>
      <c r="B125" s="1538"/>
      <c r="C125" s="1538"/>
      <c r="D125" s="1538"/>
      <c r="E125" s="1538"/>
      <c r="F125" s="1538"/>
      <c r="G125" s="1538"/>
    </row>
    <row r="126" spans="1:9" ht="20.25" customHeight="1">
      <c r="A126" s="1538"/>
      <c r="B126" s="1538"/>
      <c r="C126" s="1538"/>
      <c r="D126" s="1538"/>
      <c r="E126" s="1538"/>
      <c r="F126" s="1538"/>
      <c r="G126" s="1538"/>
    </row>
    <row r="127" spans="1:9" ht="20.25" customHeight="1">
      <c r="A127" s="1538"/>
      <c r="B127" s="1538"/>
      <c r="C127" s="1538"/>
      <c r="D127" s="1538"/>
      <c r="E127" s="1538"/>
      <c r="F127" s="1538"/>
      <c r="G127" s="1538"/>
    </row>
    <row r="128" spans="1:9" ht="20.25" customHeight="1">
      <c r="A128" s="1183"/>
      <c r="B128" s="1183"/>
      <c r="C128" s="1183"/>
      <c r="D128" s="1183"/>
      <c r="E128" s="1183"/>
      <c r="F128" s="1183"/>
      <c r="G128" s="1183"/>
    </row>
    <row r="129" spans="1:7" ht="30.75" customHeight="1">
      <c r="A129" s="1537" t="s">
        <v>872</v>
      </c>
      <c r="B129" s="1537"/>
      <c r="C129" s="1537"/>
      <c r="D129" s="1537"/>
      <c r="E129" s="1537"/>
      <c r="F129" s="1537"/>
      <c r="G129" s="1537"/>
    </row>
    <row r="130" spans="1:7" ht="30.75" customHeight="1">
      <c r="A130" s="1537"/>
      <c r="B130" s="1537"/>
      <c r="C130" s="1537"/>
      <c r="D130" s="1537"/>
      <c r="E130" s="1537"/>
      <c r="F130" s="1537"/>
      <c r="G130" s="1537"/>
    </row>
    <row r="131" spans="1:7" ht="19.5">
      <c r="B131" s="161"/>
      <c r="F131" s="125"/>
      <c r="G131" s="110"/>
    </row>
    <row r="132" spans="1:7" ht="19.5">
      <c r="B132" s="161"/>
      <c r="F132" s="275"/>
      <c r="G132" s="110"/>
    </row>
    <row r="133" spans="1:7" ht="19.5">
      <c r="B133" s="161"/>
      <c r="F133" s="275"/>
      <c r="G133" s="110"/>
    </row>
    <row r="134" spans="1:7" ht="19.5">
      <c r="B134" s="161"/>
      <c r="F134" s="275"/>
      <c r="G134" s="110"/>
    </row>
    <row r="135" spans="1:7" ht="19.5">
      <c r="B135" s="161"/>
      <c r="F135" s="125"/>
      <c r="G135" s="270"/>
    </row>
    <row r="136" spans="1:7" ht="19.5">
      <c r="B136" s="161"/>
      <c r="F136" s="125"/>
      <c r="G136" s="270"/>
    </row>
    <row r="137" spans="1:7" ht="19.5">
      <c r="B137" s="161"/>
      <c r="F137" s="125"/>
      <c r="G137" s="270"/>
    </row>
    <row r="138" spans="1:7" ht="19.5">
      <c r="B138" s="161"/>
      <c r="F138" s="277"/>
      <c r="G138" s="270"/>
    </row>
    <row r="139" spans="1:7" ht="19.5">
      <c r="B139" s="161"/>
      <c r="F139" s="137"/>
    </row>
    <row r="140" spans="1:7">
      <c r="B140" s="161"/>
      <c r="F140" s="267"/>
    </row>
    <row r="141" spans="1:7">
      <c r="B141" s="161"/>
      <c r="F141" s="267"/>
    </row>
    <row r="142" spans="1:7">
      <c r="B142" s="161"/>
    </row>
    <row r="143" spans="1:7">
      <c r="B143" s="161"/>
    </row>
    <row r="144" spans="1:7">
      <c r="B144" s="161"/>
    </row>
    <row r="145" spans="2:2">
      <c r="B145" s="161"/>
    </row>
  </sheetData>
  <mergeCells count="7">
    <mergeCell ref="A129:G130"/>
    <mergeCell ref="A123:G127"/>
    <mergeCell ref="A7:F7"/>
    <mergeCell ref="A3:F3"/>
    <mergeCell ref="A4:F4"/>
    <mergeCell ref="A5:F5"/>
    <mergeCell ref="A6:F6"/>
  </mergeCells>
  <phoneticPr fontId="72"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58"/>
  <sheetViews>
    <sheetView view="pageBreakPreview" zoomScale="60" zoomScaleNormal="100" workbookViewId="0">
      <selection activeCell="D263" sqref="D26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43" t="s">
        <v>116</v>
      </c>
    </row>
    <row r="2" spans="1:29" ht="15.75">
      <c r="A2" s="943" t="s">
        <v>116</v>
      </c>
    </row>
    <row r="3" spans="1:29" ht="18">
      <c r="A3" s="1540" t="s">
        <v>389</v>
      </c>
      <c r="B3" s="1540"/>
      <c r="C3" s="1540"/>
      <c r="D3" s="1540"/>
      <c r="E3" s="1540"/>
      <c r="F3" s="1540"/>
      <c r="G3" s="1540"/>
      <c r="H3" s="1540"/>
      <c r="I3" s="1540"/>
      <c r="J3" s="1540"/>
      <c r="K3" s="155"/>
      <c r="L3" s="155"/>
      <c r="M3" s="155"/>
    </row>
    <row r="4" spans="1:29" ht="18">
      <c r="A4" s="1539" t="str">
        <f>"Cost of Service Formula Rate Using "&amp;TCOS!L4&amp;" FF1 Balances"</f>
        <v>Cost of Service Formula Rate Using 2020 FF1 Balances</v>
      </c>
      <c r="B4" s="1539"/>
      <c r="C4" s="1539"/>
      <c r="D4" s="1539"/>
      <c r="E4" s="1539"/>
      <c r="F4" s="1539"/>
      <c r="G4" s="1539"/>
      <c r="H4" s="1539"/>
      <c r="I4" s="1539"/>
      <c r="J4" s="1539"/>
      <c r="K4" s="98"/>
      <c r="L4" s="98"/>
      <c r="M4" s="98"/>
    </row>
    <row r="5" spans="1:29" ht="18">
      <c r="A5" s="1539" t="s">
        <v>548</v>
      </c>
      <c r="B5" s="1539"/>
      <c r="C5" s="1539"/>
      <c r="D5" s="1539"/>
      <c r="E5" s="1539"/>
      <c r="F5" s="1539"/>
      <c r="G5" s="1539"/>
      <c r="H5" s="1539"/>
      <c r="I5" s="1539"/>
      <c r="J5" s="1539"/>
      <c r="K5" s="156"/>
      <c r="L5" s="156"/>
      <c r="M5" s="156"/>
    </row>
    <row r="6" spans="1:29" ht="18">
      <c r="A6" s="1534" t="str">
        <f>+TCOS!F9</f>
        <v>KENTUCKY POWER COMPANY</v>
      </c>
      <c r="B6" s="1534"/>
      <c r="C6" s="1534"/>
      <c r="D6" s="1534"/>
      <c r="E6" s="1534"/>
      <c r="F6" s="1534"/>
      <c r="G6" s="1534"/>
      <c r="H6" s="1534"/>
      <c r="I6" s="1534"/>
      <c r="J6" s="1534"/>
      <c r="K6" s="167"/>
      <c r="L6" s="167"/>
      <c r="M6" s="167"/>
    </row>
    <row r="8" spans="1:29" ht="18">
      <c r="A8" s="173"/>
      <c r="B8" s="103"/>
      <c r="D8" s="105"/>
      <c r="E8" s="6"/>
      <c r="F8" s="107"/>
    </row>
    <row r="9" spans="1:29" ht="18">
      <c r="C9" s="7"/>
      <c r="D9" s="105"/>
      <c r="E9" s="6"/>
      <c r="F9" s="107"/>
      <c r="Q9" s="155"/>
      <c r="R9" s="155"/>
      <c r="S9" s="155"/>
      <c r="T9" s="155"/>
      <c r="U9" s="155"/>
      <c r="V9" s="155"/>
      <c r="W9" s="155"/>
      <c r="X9" s="155"/>
      <c r="Y9" s="155"/>
      <c r="Z9" s="155"/>
      <c r="AA9" s="155"/>
      <c r="AB9" s="155"/>
      <c r="AC9" s="155"/>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8"/>
    </row>
    <row r="18" spans="1:12" ht="18">
      <c r="A18" s="173"/>
      <c r="B18" s="19"/>
    </row>
    <row r="20" spans="1:12">
      <c r="A20" s="18"/>
      <c r="B20" s="18"/>
      <c r="C20" s="169"/>
      <c r="E20" s="169"/>
      <c r="F20" s="169"/>
      <c r="G20" s="169"/>
      <c r="H20" s="169"/>
      <c r="I20" s="169"/>
      <c r="J20" s="170"/>
    </row>
    <row r="22" spans="1:12">
      <c r="E22" s="171"/>
      <c r="F22" s="172"/>
      <c r="G22" s="172"/>
      <c r="I22" s="172"/>
      <c r="L22" s="317"/>
    </row>
    <row r="23" spans="1:12">
      <c r="E23" s="108"/>
      <c r="F23" s="172"/>
      <c r="G23" s="172"/>
      <c r="I23" s="172"/>
      <c r="L23" s="317"/>
    </row>
    <row r="24" spans="1:12">
      <c r="E24" s="108"/>
      <c r="F24" s="172"/>
      <c r="G24" s="172"/>
      <c r="I24" s="172"/>
      <c r="L24" s="317"/>
    </row>
    <row r="25" spans="1:12">
      <c r="E25" s="108"/>
      <c r="F25" s="172"/>
      <c r="G25" s="172"/>
      <c r="I25" s="172"/>
      <c r="L25" s="317"/>
    </row>
    <row r="26" spans="1:12">
      <c r="E26" s="108"/>
      <c r="F26" s="172"/>
      <c r="G26" s="172"/>
      <c r="I26" s="172"/>
      <c r="L26" s="317"/>
    </row>
    <row r="27" spans="1:12">
      <c r="E27" s="108"/>
      <c r="F27" s="172"/>
      <c r="G27" s="172"/>
      <c r="I27" s="172"/>
      <c r="L27" s="317"/>
    </row>
    <row r="28" spans="1:12">
      <c r="E28" s="108"/>
      <c r="F28" s="172"/>
      <c r="G28" s="172"/>
      <c r="I28" s="172"/>
      <c r="L28" s="317"/>
    </row>
    <row r="29" spans="1:12">
      <c r="E29" s="108"/>
      <c r="F29" s="172"/>
      <c r="G29" s="172"/>
      <c r="I29" s="172"/>
      <c r="L29" s="317"/>
    </row>
    <row r="30" spans="1:12">
      <c r="E30" s="108"/>
      <c r="F30" s="172"/>
      <c r="G30" s="172"/>
      <c r="I30" s="172"/>
      <c r="L30" s="317"/>
    </row>
    <row r="31" spans="1:12">
      <c r="E31" s="108"/>
      <c r="F31" s="172"/>
      <c r="G31" s="172"/>
      <c r="I31" s="172"/>
      <c r="L31" s="317"/>
    </row>
    <row r="32" spans="1:12">
      <c r="E32" s="108"/>
      <c r="F32" s="172"/>
      <c r="G32" s="172"/>
      <c r="I32" s="172"/>
      <c r="L32" s="317"/>
    </row>
    <row r="33" spans="1:12">
      <c r="E33" s="108"/>
      <c r="F33" s="172"/>
      <c r="G33" s="172"/>
      <c r="I33" s="172"/>
      <c r="L33" s="317"/>
    </row>
    <row r="35" spans="1:12">
      <c r="H35" s="100"/>
      <c r="I35" s="323"/>
    </row>
    <row r="37" spans="1:12" ht="18">
      <c r="A37" s="173"/>
      <c r="B37" s="19"/>
    </row>
    <row r="44" spans="1:12" ht="18">
      <c r="A44" s="173"/>
      <c r="B44" s="181"/>
      <c r="C44" s="174"/>
      <c r="E44" s="174"/>
      <c r="F44" s="174"/>
      <c r="G44" s="174"/>
      <c r="H44" s="174"/>
      <c r="I44" s="105"/>
    </row>
    <row r="45" spans="1:12">
      <c r="B45" s="175"/>
      <c r="C45" s="174"/>
      <c r="E45" s="174"/>
      <c r="F45" s="174"/>
      <c r="G45" s="174"/>
      <c r="H45" s="174"/>
      <c r="I45" s="105"/>
    </row>
    <row r="46" spans="1:12">
      <c r="B46" s="180"/>
      <c r="C46" s="174"/>
      <c r="E46" s="174"/>
      <c r="F46" s="174"/>
      <c r="G46" s="182"/>
      <c r="H46" s="182"/>
    </row>
    <row r="47" spans="1:12">
      <c r="B47" s="180"/>
      <c r="C47" s="176"/>
      <c r="E47" s="176"/>
      <c r="F47" s="176"/>
      <c r="G47" s="176"/>
    </row>
    <row r="48" spans="1:12">
      <c r="B48" s="178"/>
      <c r="F48" s="100"/>
      <c r="G48" s="217"/>
      <c r="H48" s="185"/>
      <c r="I48" s="179"/>
      <c r="J48" s="183"/>
    </row>
    <row r="49" spans="2:10">
      <c r="B49" s="178"/>
      <c r="F49" s="100"/>
      <c r="G49" s="177"/>
      <c r="H49" s="185"/>
      <c r="I49" s="179"/>
      <c r="J49" s="183"/>
    </row>
    <row r="50" spans="2:10">
      <c r="B50" s="180"/>
      <c r="G50" s="177"/>
      <c r="H50" s="185"/>
      <c r="I50" s="179"/>
      <c r="J50" s="183"/>
    </row>
    <row r="51" spans="2:10">
      <c r="B51" s="257"/>
      <c r="C51" s="258"/>
      <c r="D51" s="174"/>
      <c r="E51" s="174"/>
      <c r="F51" s="174"/>
      <c r="G51" s="324"/>
      <c r="H51" s="183"/>
      <c r="J51" s="183"/>
    </row>
    <row r="52" spans="2:10">
      <c r="F52" s="100"/>
      <c r="G52" s="217"/>
      <c r="J52" s="184"/>
    </row>
    <row r="55" spans="2:10">
      <c r="D55" s="184"/>
    </row>
    <row r="56" spans="2:10">
      <c r="D56" s="184"/>
      <c r="H56" s="105"/>
    </row>
    <row r="57" spans="2:10">
      <c r="D57" s="184"/>
      <c r="H57" s="174"/>
    </row>
    <row r="58" spans="2:10">
      <c r="D58" s="18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7" customWidth="1"/>
    <col min="2" max="2" width="6.5703125" style="439" customWidth="1"/>
    <col min="3" max="3" width="42" style="357" customWidth="1"/>
    <col min="4" max="4" width="17.5703125" style="451" customWidth="1"/>
    <col min="5" max="7" width="17.5703125" style="357" customWidth="1"/>
    <col min="8" max="8" width="17.5703125" style="617" customWidth="1"/>
    <col min="9" max="9" width="17.5703125" style="357" bestFit="1" customWidth="1"/>
    <col min="10" max="10" width="2.140625" style="341" customWidth="1"/>
    <col min="11" max="11" width="20.5703125" style="357" customWidth="1"/>
    <col min="12" max="14" width="17.5703125" style="357" customWidth="1"/>
    <col min="15" max="15" width="16.5703125" style="357" customWidth="1"/>
    <col min="16" max="16" width="2.140625" style="570" customWidth="1"/>
    <col min="17" max="16384" width="8.85546875" style="357"/>
  </cols>
  <sheetData>
    <row r="1" spans="1:16" ht="15.75">
      <c r="A1" s="943" t="s">
        <v>116</v>
      </c>
    </row>
    <row r="2" spans="1:16" ht="15.75">
      <c r="A2" s="943" t="s">
        <v>116</v>
      </c>
    </row>
    <row r="3" spans="1:16" ht="15">
      <c r="A3" s="1527" t="s">
        <v>389</v>
      </c>
      <c r="B3" s="1527"/>
      <c r="C3" s="1527"/>
      <c r="D3" s="1527"/>
      <c r="E3" s="1527"/>
      <c r="F3" s="1527"/>
      <c r="G3" s="1527"/>
      <c r="H3" s="1527"/>
      <c r="I3" s="1527"/>
      <c r="J3" s="1527"/>
      <c r="K3" s="1527"/>
      <c r="L3" s="1527"/>
      <c r="M3" s="1527"/>
      <c r="N3" s="1527"/>
      <c r="O3" s="1527"/>
      <c r="P3" s="616"/>
    </row>
    <row r="4" spans="1:16" ht="15">
      <c r="A4" s="1528" t="str">
        <f>"Cost of Service Formula Rate Using "&amp;TCOS!L4&amp;" FF1 Balances"</f>
        <v>Cost of Service Formula Rate Using 2020 FF1 Balances</v>
      </c>
      <c r="B4" s="1528"/>
      <c r="C4" s="1528"/>
      <c r="D4" s="1528"/>
      <c r="E4" s="1528"/>
      <c r="F4" s="1528"/>
      <c r="G4" s="1528"/>
      <c r="H4" s="1528"/>
      <c r="I4" s="1528"/>
      <c r="J4" s="1528"/>
      <c r="K4" s="1528"/>
      <c r="L4" s="1528"/>
      <c r="M4" s="1528"/>
      <c r="N4" s="1528"/>
      <c r="O4" s="1528"/>
      <c r="P4" s="616"/>
    </row>
    <row r="5" spans="1:16" ht="15">
      <c r="A5" s="1528" t="s">
        <v>470</v>
      </c>
      <c r="B5" s="1528"/>
      <c r="C5" s="1528"/>
      <c r="D5" s="1528"/>
      <c r="E5" s="1528"/>
      <c r="F5" s="1528"/>
      <c r="G5" s="1528"/>
      <c r="H5" s="1528"/>
      <c r="I5" s="1528"/>
      <c r="J5" s="1528"/>
      <c r="K5" s="1528"/>
      <c r="L5" s="1528"/>
      <c r="M5" s="1528"/>
      <c r="N5" s="1528"/>
      <c r="O5" s="1528"/>
      <c r="P5" s="616"/>
    </row>
    <row r="6" spans="1:16" ht="15">
      <c r="A6" s="1529" t="str">
        <f>TCOS!F9</f>
        <v>KENTUCKY POWER COMPANY</v>
      </c>
      <c r="B6" s="1529"/>
      <c r="C6" s="1529"/>
      <c r="D6" s="1529"/>
      <c r="E6" s="1529"/>
      <c r="F6" s="1529"/>
      <c r="G6" s="1529"/>
      <c r="H6" s="1529"/>
      <c r="I6" s="1529"/>
      <c r="J6" s="1529"/>
      <c r="K6" s="1529"/>
      <c r="L6" s="1529"/>
      <c r="M6" s="1529"/>
      <c r="N6" s="1529"/>
      <c r="O6" s="1529"/>
      <c r="P6" s="616"/>
    </row>
    <row r="7" spans="1:16">
      <c r="P7" s="616"/>
    </row>
    <row r="8" spans="1:16" ht="20.25">
      <c r="A8" s="618"/>
      <c r="C8" s="439"/>
      <c r="N8" s="619" t="str">
        <f>"Page "&amp;P8&amp;" of "</f>
        <v xml:space="preserve">Page 1 of </v>
      </c>
      <c r="O8" s="620">
        <f>COUNT(P$8:P$57923)</f>
        <v>2</v>
      </c>
      <c r="P8" s="621">
        <v>1</v>
      </c>
    </row>
    <row r="9" spans="1:16" ht="18">
      <c r="C9" s="622"/>
      <c r="P9" s="616"/>
    </row>
    <row r="10" spans="1:16">
      <c r="P10" s="616"/>
    </row>
    <row r="11" spans="1:16" ht="18">
      <c r="B11" s="623" t="s">
        <v>173</v>
      </c>
      <c r="C11" s="1550" t="str">
        <f>"Calculate Return and Income Taxes with "&amp;F17&amp;" basis point ROE increase for Projects Qualified for Regional Billing."</f>
        <v>Calculate Return and Income Taxes with  basis point ROE increase for Projects Qualified for Regional Billing.</v>
      </c>
      <c r="D11" s="1551"/>
      <c r="E11" s="1551"/>
      <c r="F11" s="1551"/>
      <c r="G11" s="1551"/>
      <c r="H11" s="1551"/>
      <c r="P11" s="616"/>
    </row>
    <row r="12" spans="1:16" ht="18.75" customHeight="1">
      <c r="C12" s="1551"/>
      <c r="D12" s="1551"/>
      <c r="E12" s="1551"/>
      <c r="F12" s="1551"/>
      <c r="G12" s="1551"/>
      <c r="H12" s="1551"/>
      <c r="P12" s="616"/>
    </row>
    <row r="13" spans="1:16" ht="15.75" customHeight="1">
      <c r="C13" s="557"/>
      <c r="D13" s="557"/>
      <c r="E13" s="557"/>
      <c r="F13" s="557"/>
      <c r="G13" s="557"/>
      <c r="H13" s="557"/>
      <c r="P13" s="616"/>
    </row>
    <row r="14" spans="1:16" ht="15.75">
      <c r="C14" s="624" t="str">
        <f>"A.   Determine 'R' with hypothetical "&amp;F17&amp;" basis point increase in ROE for Identified Projects"</f>
        <v>A.   Determine 'R' with hypothetical  basis point increase in ROE for Identified Projects</v>
      </c>
      <c r="P14" s="616"/>
    </row>
    <row r="15" spans="1:16">
      <c r="C15" s="439"/>
      <c r="P15" s="616"/>
    </row>
    <row r="16" spans="1:16">
      <c r="C16" s="625" t="str">
        <f>"   ROE w/o incentives  (TCOS, ln "&amp;TCOS!B257&amp;")"</f>
        <v xml:space="preserve">   ROE w/o incentives  (TCOS, ln 156)</v>
      </c>
      <c r="E16" s="626"/>
      <c r="F16" s="627">
        <f>TCOS!J257</f>
        <v>0.10349999999999999</v>
      </c>
      <c r="G16" s="626"/>
      <c r="H16" s="628"/>
      <c r="I16" s="628"/>
      <c r="J16" s="629"/>
      <c r="K16" s="628"/>
      <c r="L16" s="628"/>
      <c r="M16" s="628"/>
      <c r="N16" s="628"/>
      <c r="O16" s="628"/>
      <c r="P16" s="629"/>
    </row>
    <row r="17" spans="3:16">
      <c r="C17" s="625" t="s">
        <v>254</v>
      </c>
      <c r="E17" s="626"/>
      <c r="F17" s="904"/>
      <c r="G17" s="630"/>
      <c r="H17" s="628"/>
      <c r="I17" s="628"/>
      <c r="J17" s="629"/>
    </row>
    <row r="18" spans="3:16">
      <c r="C18" s="625" t="str">
        <f>"   ROE with additional "&amp;F17&amp;" basis point incentive"</f>
        <v xml:space="preserve">   ROE with additional  basis point incentive</v>
      </c>
      <c r="D18" s="626"/>
      <c r="E18" s="626"/>
      <c r="F18" s="631">
        <f>IF((F16+(F17/10000)&gt;0.1274),"ERROR",F16+(F17/10000))</f>
        <v>0.10349999999999999</v>
      </c>
      <c r="G18" s="632"/>
      <c r="H18" s="628"/>
      <c r="I18" s="628"/>
      <c r="J18" s="629"/>
    </row>
    <row r="19" spans="3:16">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6"/>
      <c r="F19" s="633"/>
      <c r="G19" s="626"/>
      <c r="H19" s="628"/>
      <c r="I19" s="628"/>
      <c r="J19" s="629"/>
    </row>
    <row r="20" spans="3:16">
      <c r="C20" s="629"/>
      <c r="D20" s="634" t="s">
        <v>148</v>
      </c>
      <c r="E20" s="634" t="s">
        <v>147</v>
      </c>
      <c r="F20" s="635" t="s">
        <v>255</v>
      </c>
      <c r="G20" s="626"/>
      <c r="H20" s="628"/>
      <c r="I20" s="628"/>
      <c r="J20" s="629"/>
    </row>
    <row r="21" spans="3:16" ht="13.5" thickBot="1">
      <c r="C21" s="636" t="s">
        <v>259</v>
      </c>
      <c r="D21" s="637">
        <f>TCOS!H255</f>
        <v>0.54641127238591036</v>
      </c>
      <c r="E21" s="638">
        <f>TCOS!J255</f>
        <v>4.0082284156050953E-2</v>
      </c>
      <c r="F21" s="639">
        <f>E21*D21</f>
        <v>2.1901411885841417E-2</v>
      </c>
      <c r="G21" s="626"/>
      <c r="H21" s="628"/>
      <c r="I21" s="640"/>
      <c r="J21" s="641"/>
      <c r="K21" s="565"/>
      <c r="L21" s="565"/>
      <c r="M21" s="565"/>
      <c r="N21" s="565"/>
      <c r="O21" s="565"/>
    </row>
    <row r="22" spans="3:16">
      <c r="C22" s="636" t="s">
        <v>260</v>
      </c>
      <c r="D22" s="637">
        <f>TCOS!H256</f>
        <v>0</v>
      </c>
      <c r="E22" s="638">
        <f>TCOS!J256</f>
        <v>0</v>
      </c>
      <c r="F22" s="639">
        <f>E22*D22</f>
        <v>0</v>
      </c>
      <c r="G22" s="642"/>
      <c r="H22" s="642"/>
      <c r="I22" s="643"/>
      <c r="J22" s="644"/>
      <c r="K22" s="1544" t="s">
        <v>453</v>
      </c>
      <c r="L22" s="1545"/>
      <c r="M22" s="1545"/>
      <c r="N22" s="1545"/>
      <c r="O22" s="1546"/>
      <c r="P22" s="644"/>
    </row>
    <row r="23" spans="3:16">
      <c r="C23" s="645" t="s">
        <v>246</v>
      </c>
      <c r="D23" s="637">
        <f>TCOS!H257</f>
        <v>0.45358872761408964</v>
      </c>
      <c r="E23" s="638">
        <f>+F18</f>
        <v>0.10349999999999999</v>
      </c>
      <c r="F23" s="646">
        <f>E23*D23</f>
        <v>4.6946433308058276E-2</v>
      </c>
      <c r="G23" s="642"/>
      <c r="H23" s="642"/>
      <c r="I23" s="643"/>
      <c r="J23" s="644"/>
      <c r="K23" s="1547"/>
      <c r="L23" s="1548"/>
      <c r="M23" s="1548"/>
      <c r="N23" s="1548"/>
      <c r="O23" s="1549"/>
      <c r="P23" s="644"/>
    </row>
    <row r="24" spans="3:16">
      <c r="C24" s="647"/>
      <c r="D24" s="357"/>
      <c r="E24" s="648" t="s">
        <v>262</v>
      </c>
      <c r="F24" s="639">
        <f>SUM(F21:F23)</f>
        <v>6.8847845193899693E-2</v>
      </c>
      <c r="G24" s="642"/>
      <c r="H24" s="642"/>
      <c r="I24" s="643"/>
      <c r="J24" s="644"/>
      <c r="K24" s="649"/>
      <c r="L24" s="650"/>
      <c r="M24" s="651" t="s">
        <v>256</v>
      </c>
      <c r="N24" s="651" t="s">
        <v>257</v>
      </c>
      <c r="O24" s="652" t="s">
        <v>258</v>
      </c>
      <c r="P24" s="644"/>
    </row>
    <row r="25" spans="3:16">
      <c r="C25" s="570"/>
      <c r="D25" s="653"/>
      <c r="E25" s="653"/>
      <c r="F25" s="642"/>
      <c r="G25" s="642"/>
      <c r="H25" s="642"/>
      <c r="I25" s="642"/>
      <c r="J25" s="654"/>
      <c r="K25" s="655"/>
      <c r="L25" s="656"/>
      <c r="M25" s="656"/>
      <c r="N25" s="656"/>
      <c r="O25" s="657"/>
      <c r="P25" s="654"/>
    </row>
    <row r="26" spans="3:16" ht="16.5" thickBot="1">
      <c r="C26" s="624" t="str">
        <f>"B.   Determine Return using 'R' with hypothetical "&amp;F17&amp;" basis point ROE increase for Identified Projects."</f>
        <v>B.   Determine Return using 'R' with hypothetical  basis point ROE increase for Identified Projects.</v>
      </c>
      <c r="D26" s="653"/>
      <c r="E26" s="653"/>
      <c r="F26" s="658"/>
      <c r="G26" s="642"/>
      <c r="H26" s="626"/>
      <c r="I26" s="642"/>
      <c r="J26" s="654"/>
      <c r="K26" s="659" t="s">
        <v>263</v>
      </c>
      <c r="L26" s="660">
        <f>TCOS!L4</f>
        <v>2020</v>
      </c>
      <c r="M26" s="905">
        <v>0</v>
      </c>
      <c r="N26" s="905">
        <v>0</v>
      </c>
      <c r="O26" s="661">
        <f>+N26-M26</f>
        <v>0</v>
      </c>
      <c r="P26" s="654"/>
    </row>
    <row r="27" spans="3:16">
      <c r="C27" s="629"/>
      <c r="D27" s="653"/>
      <c r="E27" s="653"/>
      <c r="F27" s="654"/>
      <c r="G27" s="654"/>
      <c r="H27" s="654"/>
      <c r="I27" s="654"/>
      <c r="J27" s="654"/>
      <c r="K27" s="662"/>
      <c r="L27" s="662"/>
      <c r="M27" s="662"/>
      <c r="N27" s="662"/>
      <c r="O27" s="662"/>
      <c r="P27" s="654"/>
    </row>
    <row r="28" spans="3:16">
      <c r="C28" s="663" t="str">
        <f>"   Rate Base  (TCOS, ln "&amp;TCOS!B125&amp;")"</f>
        <v xml:space="preserve">   Rate Base  (TCOS, ln 68)</v>
      </c>
      <c r="D28" s="626"/>
      <c r="F28" s="664">
        <f>TCOS!L125</f>
        <v>352397231.37624419</v>
      </c>
      <c r="G28" s="654"/>
      <c r="H28" s="654"/>
      <c r="I28" s="654"/>
      <c r="J28" s="654"/>
      <c r="K28" s="662"/>
      <c r="L28" s="662"/>
      <c r="M28" s="662"/>
      <c r="N28" s="662"/>
      <c r="O28" s="665"/>
      <c r="P28" s="654"/>
    </row>
    <row r="29" spans="3:16">
      <c r="C29" s="629" t="s">
        <v>476</v>
      </c>
      <c r="D29" s="666"/>
      <c r="F29" s="639">
        <f>F24</f>
        <v>6.8847845193899693E-2</v>
      </c>
      <c r="G29" s="654"/>
      <c r="H29" s="654"/>
      <c r="I29" s="654"/>
      <c r="J29" s="654"/>
      <c r="K29" s="654"/>
      <c r="L29" s="654"/>
      <c r="M29" s="654"/>
      <c r="N29" s="654"/>
      <c r="O29" s="654"/>
      <c r="P29" s="654"/>
    </row>
    <row r="30" spans="3:16">
      <c r="C30" s="667" t="s">
        <v>264</v>
      </c>
      <c r="D30" s="667"/>
      <c r="F30" s="643">
        <f>F28*F29</f>
        <v>24261790.03255051</v>
      </c>
      <c r="G30" s="654"/>
      <c r="H30" s="654"/>
      <c r="I30" s="644"/>
      <c r="J30" s="644"/>
      <c r="K30" s="644"/>
      <c r="L30" s="644"/>
      <c r="M30" s="644"/>
      <c r="N30" s="644"/>
      <c r="O30" s="654"/>
      <c r="P30" s="644"/>
    </row>
    <row r="31" spans="3:16">
      <c r="C31" s="668"/>
      <c r="D31" s="628"/>
      <c r="E31" s="628"/>
      <c r="F31" s="654"/>
      <c r="G31" s="654"/>
      <c r="H31" s="654"/>
      <c r="I31" s="644"/>
      <c r="J31" s="644"/>
      <c r="K31" s="644"/>
      <c r="L31" s="644"/>
      <c r="M31" s="644"/>
      <c r="N31" s="644"/>
      <c r="O31" s="654"/>
      <c r="P31" s="644"/>
    </row>
    <row r="32" spans="3:16" ht="15.75">
      <c r="C32" s="624" t="str">
        <f>"C.   Determine Income Taxes using Return with hypothetical "&amp;F17&amp;" basis point ROE increase for Identified Projects."</f>
        <v>C.   Determine Income Taxes using Return with hypothetical  basis point ROE increase for Identified Projects.</v>
      </c>
      <c r="D32" s="669"/>
      <c r="E32" s="669"/>
      <c r="F32" s="670"/>
      <c r="G32" s="670"/>
      <c r="H32" s="670"/>
      <c r="I32" s="671"/>
      <c r="J32" s="671"/>
      <c r="K32" s="671"/>
      <c r="L32" s="671"/>
      <c r="M32" s="671"/>
      <c r="N32" s="671"/>
      <c r="O32" s="670"/>
      <c r="P32" s="671"/>
    </row>
    <row r="33" spans="2:16">
      <c r="C33" s="647"/>
      <c r="D33" s="628"/>
      <c r="E33" s="628"/>
      <c r="F33" s="654"/>
      <c r="G33" s="654"/>
      <c r="H33" s="654"/>
      <c r="I33" s="644"/>
      <c r="J33" s="644"/>
      <c r="K33" s="644"/>
      <c r="L33" s="644"/>
      <c r="M33" s="644"/>
      <c r="N33" s="644"/>
      <c r="O33" s="654"/>
      <c r="P33" s="644"/>
    </row>
    <row r="34" spans="2:16">
      <c r="C34" s="629" t="s">
        <v>265</v>
      </c>
      <c r="D34" s="648"/>
      <c r="F34" s="672">
        <f>F30</f>
        <v>24261790.03255051</v>
      </c>
      <c r="G34" s="654"/>
      <c r="H34" s="654"/>
      <c r="I34" s="654"/>
      <c r="J34" s="654"/>
      <c r="K34" s="654"/>
      <c r="L34" s="654"/>
      <c r="M34" s="654"/>
      <c r="N34" s="654"/>
      <c r="O34" s="654"/>
      <c r="P34" s="654"/>
    </row>
    <row r="35" spans="2:16">
      <c r="C35" s="663" t="str">
        <f>"   Effective Tax Rate  (TCOS, ln "&amp;TCOS!B190&amp;")"</f>
        <v xml:space="preserve">   Effective Tax Rate  (TCOS, ln 114)</v>
      </c>
      <c r="D35" s="591"/>
      <c r="F35" s="673">
        <f>TCOS!G190</f>
        <v>0.23733346763128169</v>
      </c>
      <c r="G35" s="570"/>
      <c r="H35" s="674"/>
      <c r="I35" s="570"/>
      <c r="J35" s="616"/>
      <c r="K35" s="570"/>
      <c r="L35" s="570"/>
      <c r="M35" s="570"/>
      <c r="N35" s="570"/>
      <c r="O35" s="570"/>
      <c r="P35" s="616"/>
    </row>
    <row r="36" spans="2:16">
      <c r="C36" s="668" t="s">
        <v>266</v>
      </c>
      <c r="D36" s="591"/>
      <c r="F36" s="675">
        <f>F34*F35</f>
        <v>5758134.7593672788</v>
      </c>
      <c r="G36" s="570"/>
      <c r="H36" s="674"/>
      <c r="I36" s="570"/>
      <c r="J36" s="616"/>
      <c r="K36" s="570"/>
      <c r="L36" s="570"/>
      <c r="M36" s="570"/>
      <c r="N36" s="570"/>
      <c r="O36" s="570"/>
      <c r="P36" s="616"/>
    </row>
    <row r="37" spans="2:16" ht="15">
      <c r="C37" s="647" t="s">
        <v>304</v>
      </c>
      <c r="D37" s="503"/>
      <c r="F37" s="676">
        <f>TCOS!L199</f>
        <v>-7.969876499721634</v>
      </c>
      <c r="G37" s="503"/>
      <c r="H37" s="503"/>
      <c r="I37" s="503"/>
      <c r="J37" s="503"/>
      <c r="K37" s="503"/>
      <c r="L37" s="503"/>
      <c r="M37" s="503"/>
      <c r="N37" s="503"/>
      <c r="O37" s="415"/>
      <c r="P37" s="503"/>
    </row>
    <row r="38" spans="2:16" ht="15">
      <c r="C38" s="647" t="s">
        <v>534</v>
      </c>
      <c r="D38" s="503"/>
      <c r="F38" s="676">
        <f>TCOS!L200</f>
        <v>-1896446.5294347608</v>
      </c>
      <c r="G38" s="503"/>
      <c r="H38" s="503"/>
      <c r="I38" s="503"/>
      <c r="J38" s="503"/>
      <c r="K38" s="503"/>
      <c r="L38" s="503"/>
      <c r="M38" s="503"/>
      <c r="N38" s="503"/>
      <c r="O38" s="415"/>
      <c r="P38" s="503"/>
    </row>
    <row r="39" spans="2:16" ht="15">
      <c r="C39" s="647" t="s">
        <v>535</v>
      </c>
      <c r="D39" s="503"/>
      <c r="F39" s="677">
        <f>TCOS!L201</f>
        <v>1043090.4544290317</v>
      </c>
      <c r="G39" s="503"/>
      <c r="H39" s="503"/>
      <c r="I39" s="503"/>
      <c r="J39" s="503"/>
      <c r="K39" s="503"/>
      <c r="L39" s="503"/>
      <c r="M39" s="503"/>
      <c r="N39" s="503"/>
      <c r="O39" s="415"/>
      <c r="P39" s="503"/>
    </row>
    <row r="40" spans="2:16" ht="15">
      <c r="C40" s="668" t="s">
        <v>267</v>
      </c>
      <c r="D40" s="503"/>
      <c r="F40" s="676">
        <f>F36+F37+F38+F39</f>
        <v>4904770.7144850492</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75">
      <c r="B42" s="623" t="s">
        <v>174</v>
      </c>
      <c r="C42" s="622"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2" t="str">
        <f>"basis point ROE increase."</f>
        <v>basis point ROE increase.</v>
      </c>
      <c r="D43" s="503"/>
      <c r="E43" s="503"/>
      <c r="F43" s="503"/>
      <c r="G43" s="503"/>
      <c r="H43" s="503"/>
      <c r="I43" s="503"/>
      <c r="J43" s="503"/>
      <c r="K43" s="503"/>
      <c r="L43" s="503"/>
      <c r="M43" s="503"/>
      <c r="N43" s="503"/>
      <c r="O43" s="373"/>
      <c r="P43" s="503"/>
    </row>
    <row r="44" spans="2:16" ht="12.75" customHeight="1">
      <c r="C44" s="622"/>
      <c r="D44" s="503"/>
      <c r="E44" s="503"/>
      <c r="F44" s="503"/>
      <c r="G44" s="503"/>
      <c r="H44" s="503"/>
      <c r="I44" s="503"/>
      <c r="J44" s="503"/>
      <c r="K44" s="503"/>
      <c r="L44" s="503"/>
      <c r="M44" s="503"/>
      <c r="N44" s="503"/>
      <c r="O44" s="373"/>
      <c r="P44" s="503"/>
    </row>
    <row r="45" spans="2:16" ht="15.75">
      <c r="C45" s="624" t="s">
        <v>467</v>
      </c>
      <c r="D45" s="503"/>
      <c r="E45" s="503"/>
      <c r="F45" s="502"/>
      <c r="G45" s="503"/>
      <c r="H45" s="503"/>
      <c r="I45" s="503"/>
      <c r="J45" s="503"/>
      <c r="K45" s="503"/>
      <c r="L45" s="503"/>
      <c r="M45" s="503"/>
      <c r="N45" s="503"/>
      <c r="O45" s="373"/>
      <c r="P45" s="503"/>
    </row>
    <row r="46" spans="2:16">
      <c r="B46" s="604"/>
      <c r="C46" s="625"/>
      <c r="D46" s="678"/>
      <c r="E46" s="678"/>
      <c r="F46" s="678"/>
      <c r="G46" s="678"/>
      <c r="H46" s="678"/>
      <c r="I46" s="678"/>
      <c r="J46" s="678"/>
      <c r="K46" s="678"/>
      <c r="L46" s="678"/>
      <c r="M46" s="678"/>
      <c r="N46" s="678"/>
      <c r="O46" s="676"/>
      <c r="P46" s="678"/>
    </row>
    <row r="47" spans="2:16" ht="12.75" customHeight="1">
      <c r="B47" s="604"/>
      <c r="C47" s="663" t="str">
        <f>"   Annual Revenue Requirement  (TCOS, ln "&amp;TCOS!B13&amp;")"</f>
        <v xml:space="preserve">   Annual Revenue Requirement  (TCOS, ln 1)</v>
      </c>
      <c r="D47" s="678"/>
      <c r="E47" s="678"/>
      <c r="G47" s="676">
        <f>TCOS!L13</f>
        <v>65104305.422606125</v>
      </c>
      <c r="H47" s="678"/>
      <c r="I47" s="678"/>
      <c r="J47" s="678"/>
      <c r="K47" s="678"/>
      <c r="L47" s="678"/>
      <c r="M47" s="678"/>
      <c r="N47" s="678"/>
      <c r="O47" s="676"/>
      <c r="P47" s="678"/>
    </row>
    <row r="48" spans="2:16" ht="12.75" customHeight="1">
      <c r="B48" s="604"/>
      <c r="C48" s="663" t="str">
        <f>"   Lease Payments (TCOS, Ln "&amp;TCOS!B168&amp;")"</f>
        <v xml:space="preserve">   Lease Payments (TCOS, Ln 95)</v>
      </c>
      <c r="D48" s="678"/>
      <c r="E48" s="678"/>
      <c r="G48" s="676">
        <f>TCOS!L168</f>
        <v>0</v>
      </c>
      <c r="H48" s="678"/>
      <c r="I48" s="678"/>
      <c r="J48" s="678"/>
      <c r="K48" s="678"/>
      <c r="L48" s="678"/>
      <c r="M48" s="678"/>
      <c r="N48" s="678"/>
      <c r="O48" s="676"/>
      <c r="P48" s="678"/>
    </row>
    <row r="49" spans="2:16">
      <c r="B49" s="604"/>
      <c r="C49" s="663" t="str">
        <f>"   Return  (TCOS, ln "&amp;TCOS!B205&amp;")"</f>
        <v xml:space="preserve">   Return  (TCOS, ln 126)</v>
      </c>
      <c r="D49" s="678"/>
      <c r="E49" s="678"/>
      <c r="G49" s="679">
        <f>TCOS!L205</f>
        <v>24261790.03255051</v>
      </c>
      <c r="H49" s="680"/>
      <c r="I49" s="680"/>
      <c r="J49" s="680"/>
      <c r="K49" s="680"/>
      <c r="L49" s="680"/>
      <c r="M49" s="680"/>
      <c r="N49" s="680"/>
      <c r="O49" s="676"/>
      <c r="P49" s="680"/>
    </row>
    <row r="50" spans="2:16">
      <c r="B50" s="604"/>
      <c r="C50" s="663" t="str">
        <f>"   Income Taxes  (TCOS, ln "&amp;TCOS!B203&amp;")"</f>
        <v xml:space="preserve">   Income Taxes  (TCOS, ln 125)</v>
      </c>
      <c r="D50" s="678"/>
      <c r="E50" s="678"/>
      <c r="G50" s="681">
        <f>TCOS!L203</f>
        <v>4904770.7144850492</v>
      </c>
      <c r="H50" s="678"/>
      <c r="I50" s="682"/>
      <c r="J50" s="682"/>
      <c r="K50" s="682"/>
      <c r="L50" s="682"/>
      <c r="M50" s="682"/>
      <c r="N50" s="682"/>
      <c r="O50" s="678"/>
      <c r="P50" s="682"/>
    </row>
    <row r="51" spans="2:16">
      <c r="B51" s="604"/>
      <c r="C51" s="683" t="s">
        <v>592</v>
      </c>
      <c r="D51" s="678"/>
      <c r="E51" s="678"/>
      <c r="G51" s="679">
        <f>G47-G49-G50-G48</f>
        <v>35937744.675570562</v>
      </c>
      <c r="H51" s="678"/>
      <c r="I51" s="684"/>
      <c r="J51" s="684"/>
      <c r="K51" s="684"/>
      <c r="L51" s="684"/>
      <c r="M51" s="684"/>
      <c r="N51" s="684"/>
      <c r="O51" s="684"/>
      <c r="P51" s="684"/>
    </row>
    <row r="52" spans="2:16">
      <c r="B52" s="604"/>
      <c r="C52" s="625"/>
      <c r="D52" s="678"/>
      <c r="E52" s="678"/>
      <c r="F52" s="676"/>
      <c r="G52" s="685"/>
      <c r="H52" s="686"/>
      <c r="I52" s="686"/>
      <c r="J52" s="686"/>
      <c r="K52" s="686"/>
      <c r="L52" s="686"/>
      <c r="M52" s="686"/>
      <c r="N52" s="686"/>
      <c r="O52" s="686"/>
      <c r="P52" s="686"/>
    </row>
    <row r="53" spans="2:16" ht="15.75">
      <c r="B53" s="604"/>
      <c r="C53" s="624" t="str">
        <f>"B.   Determine Annual Revenue Requirement with hypothetical "&amp;F17&amp;" basis point increase in ROE."</f>
        <v>B.   Determine Annual Revenue Requirement with hypothetical  basis point increase in ROE.</v>
      </c>
      <c r="D53" s="687"/>
      <c r="E53" s="687"/>
      <c r="F53" s="676"/>
      <c r="G53" s="685"/>
      <c r="H53" s="686"/>
      <c r="I53" s="686"/>
      <c r="J53" s="686"/>
      <c r="K53" s="686"/>
      <c r="L53" s="686"/>
      <c r="M53" s="686"/>
      <c r="N53" s="686"/>
      <c r="O53" s="686"/>
      <c r="P53" s="686"/>
    </row>
    <row r="54" spans="2:16">
      <c r="B54" s="604"/>
      <c r="C54" s="625"/>
      <c r="D54" s="687"/>
      <c r="E54" s="687"/>
      <c r="F54" s="676"/>
      <c r="G54" s="685"/>
      <c r="H54" s="686"/>
      <c r="I54" s="686"/>
      <c r="J54" s="686"/>
      <c r="K54" s="686"/>
      <c r="L54" s="686"/>
      <c r="M54" s="686"/>
      <c r="N54" s="686"/>
      <c r="O54" s="686"/>
      <c r="P54" s="686"/>
    </row>
    <row r="55" spans="2:16">
      <c r="B55" s="604"/>
      <c r="C55" s="625" t="str">
        <f>C51</f>
        <v xml:space="preserve">   Annual Revenue Requirement, Less Lease Payments, Return and Taxes</v>
      </c>
      <c r="D55" s="687"/>
      <c r="E55" s="687"/>
      <c r="G55" s="676">
        <f>G51</f>
        <v>35937744.675570562</v>
      </c>
      <c r="H55" s="678"/>
      <c r="I55" s="678"/>
      <c r="J55" s="678"/>
      <c r="K55" s="678"/>
      <c r="L55" s="678"/>
      <c r="M55" s="678"/>
      <c r="N55" s="678"/>
      <c r="O55" s="688"/>
      <c r="P55" s="678"/>
    </row>
    <row r="56" spans="2:16">
      <c r="B56" s="604"/>
      <c r="C56" s="629" t="s">
        <v>301</v>
      </c>
      <c r="D56" s="689"/>
      <c r="E56" s="683"/>
      <c r="G56" s="690">
        <f>F30</f>
        <v>24261790.03255051</v>
      </c>
      <c r="H56" s="691"/>
      <c r="I56" s="683"/>
      <c r="J56" s="683"/>
      <c r="K56" s="683"/>
      <c r="L56" s="683"/>
      <c r="M56" s="683"/>
      <c r="N56" s="683"/>
      <c r="O56" s="683"/>
      <c r="P56" s="683"/>
    </row>
    <row r="57" spans="2:16" ht="12.75" customHeight="1">
      <c r="B57" s="604"/>
      <c r="C57" s="647" t="s">
        <v>268</v>
      </c>
      <c r="D57" s="678"/>
      <c r="E57" s="678"/>
      <c r="G57" s="681">
        <f>F40</f>
        <v>4904770.7144850492</v>
      </c>
      <c r="H57" s="674"/>
      <c r="I57" s="570"/>
      <c r="J57" s="616"/>
      <c r="K57" s="570"/>
      <c r="L57" s="570"/>
      <c r="M57" s="570"/>
      <c r="N57" s="570"/>
      <c r="O57" s="570"/>
      <c r="P57" s="616"/>
    </row>
    <row r="58" spans="2:16">
      <c r="B58" s="604"/>
      <c r="C58" s="683" t="str">
        <f>"   Annual Revenue Requirement, with "&amp;F17&amp;" Basis Point ROE increase"</f>
        <v xml:space="preserve">   Annual Revenue Requirement, with  Basis Point ROE increase</v>
      </c>
      <c r="D58" s="591"/>
      <c r="E58" s="570"/>
      <c r="G58" s="675">
        <f>SUM(G55:G57)</f>
        <v>65104305.422606125</v>
      </c>
      <c r="H58" s="674"/>
      <c r="I58" s="570"/>
      <c r="J58" s="616"/>
      <c r="K58" s="570"/>
      <c r="L58" s="570"/>
      <c r="M58" s="570"/>
      <c r="N58" s="570"/>
      <c r="O58" s="570"/>
      <c r="P58" s="616"/>
    </row>
    <row r="59" spans="2:16">
      <c r="B59" s="604"/>
      <c r="C59" s="663" t="str">
        <f>"   Depreciation  (TCOS, ln "&amp;TCOS!B174&amp;")"</f>
        <v xml:space="preserve">   Depreciation  (TCOS, ln 100)</v>
      </c>
      <c r="D59" s="591"/>
      <c r="E59" s="570"/>
      <c r="G59" s="692">
        <f>TCOS!L174</f>
        <v>17643723.657234021</v>
      </c>
      <c r="H59" s="674"/>
      <c r="I59" s="570"/>
      <c r="J59" s="616"/>
      <c r="K59" s="570"/>
      <c r="L59" s="570"/>
      <c r="M59" s="570"/>
      <c r="N59" s="570"/>
      <c r="O59" s="570"/>
      <c r="P59" s="616"/>
    </row>
    <row r="60" spans="2:16">
      <c r="B60" s="604"/>
      <c r="C60" s="683" t="str">
        <f>"   Annual Rev. Req, w/"&amp;F17&amp;" Basis Point ROE increase, less Depreciation"</f>
        <v xml:space="preserve">   Annual Rev. Req, w/ Basis Point ROE increase, less Depreciation</v>
      </c>
      <c r="D60" s="591"/>
      <c r="E60" s="570"/>
      <c r="G60" s="675">
        <f>G58-G59</f>
        <v>47460581.765372105</v>
      </c>
      <c r="H60" s="674"/>
      <c r="I60" s="570"/>
      <c r="J60" s="616"/>
      <c r="K60" s="570"/>
      <c r="L60" s="570"/>
      <c r="M60" s="570"/>
      <c r="N60" s="570"/>
      <c r="O60" s="570"/>
      <c r="P60" s="616"/>
    </row>
    <row r="61" spans="2:16">
      <c r="B61" s="604"/>
      <c r="C61" s="570"/>
      <c r="D61" s="591"/>
      <c r="E61" s="570"/>
      <c r="F61" s="570"/>
      <c r="G61" s="570"/>
      <c r="H61" s="674"/>
      <c r="I61" s="570"/>
      <c r="J61" s="616"/>
      <c r="K61" s="570"/>
      <c r="L61" s="570"/>
      <c r="M61" s="570"/>
      <c r="N61" s="570"/>
      <c r="O61" s="570"/>
      <c r="P61" s="616"/>
    </row>
    <row r="62" spans="2:16" ht="15.75">
      <c r="B62" s="604"/>
      <c r="C62" s="624" t="str">
        <f>"C.   Determine FCR with hypothetical "&amp;F17&amp;" basis point ROE increase."</f>
        <v>C.   Determine FCR with hypothetical  basis point ROE increase.</v>
      </c>
      <c r="D62" s="591"/>
      <c r="E62" s="570"/>
      <c r="F62" s="570"/>
      <c r="G62" s="570"/>
      <c r="H62" s="674"/>
      <c r="I62" s="570"/>
      <c r="J62" s="616"/>
      <c r="K62" s="570"/>
      <c r="L62" s="570"/>
      <c r="M62" s="570"/>
      <c r="N62" s="570"/>
      <c r="O62" s="570"/>
      <c r="P62" s="616"/>
    </row>
    <row r="63" spans="2:16">
      <c r="B63" s="604"/>
      <c r="C63" s="570"/>
      <c r="D63" s="591"/>
      <c r="E63" s="570"/>
      <c r="F63" s="570"/>
      <c r="G63" s="570"/>
      <c r="H63" s="674"/>
      <c r="I63" s="570"/>
      <c r="J63" s="616"/>
      <c r="K63" s="570"/>
      <c r="L63" s="570"/>
      <c r="M63" s="570"/>
      <c r="N63" s="570"/>
      <c r="O63" s="570"/>
      <c r="P63" s="616"/>
    </row>
    <row r="64" spans="2:16">
      <c r="B64" s="604"/>
      <c r="C64" s="663" t="str">
        <f>"   Net Transmission Plant  (TCOS, ln "&amp;TCOS!B91&amp;")"</f>
        <v xml:space="preserve">   Net Transmission Plant  (TCOS, ln 42)</v>
      </c>
      <c r="D64" s="591"/>
      <c r="E64" s="570"/>
      <c r="G64" s="675">
        <f>TCOS!L91</f>
        <v>427372137.9607693</v>
      </c>
      <c r="H64" s="693"/>
      <c r="I64" s="570"/>
      <c r="J64" s="616"/>
      <c r="K64" s="570"/>
      <c r="L64" s="570"/>
      <c r="M64" s="570"/>
      <c r="N64" s="570"/>
      <c r="O64" s="570"/>
      <c r="P64" s="616"/>
    </row>
    <row r="65" spans="2:16">
      <c r="B65" s="604"/>
      <c r="C65" s="683" t="str">
        <f>"   Annual Revenue Requirement, with "&amp;F17&amp;" Basis Point ROE increase"</f>
        <v xml:space="preserve">   Annual Revenue Requirement, with  Basis Point ROE increase</v>
      </c>
      <c r="D65" s="591"/>
      <c r="E65" s="570"/>
      <c r="G65" s="675">
        <f>G58</f>
        <v>65104305.422606125</v>
      </c>
      <c r="H65" s="674"/>
      <c r="I65" s="570"/>
      <c r="J65" s="616"/>
      <c r="K65" s="570"/>
      <c r="L65" s="570"/>
      <c r="M65" s="570"/>
      <c r="N65" s="570"/>
      <c r="O65" s="570"/>
      <c r="P65" s="616"/>
    </row>
    <row r="66" spans="2:16">
      <c r="B66" s="604"/>
      <c r="C66" s="683" t="str">
        <f>"   FCR with "&amp;F17&amp;" Basis Point increase in ROE"</f>
        <v xml:space="preserve">   FCR with  Basis Point increase in ROE</v>
      </c>
      <c r="D66" s="591"/>
      <c r="E66" s="570"/>
      <c r="G66" s="673">
        <f>G65/G64</f>
        <v>0.15233633557221363</v>
      </c>
      <c r="H66" s="674"/>
      <c r="I66" s="570"/>
      <c r="J66" s="616"/>
      <c r="K66" s="570"/>
      <c r="L66" s="570"/>
      <c r="M66" s="570"/>
      <c r="N66" s="570"/>
      <c r="O66" s="570"/>
      <c r="P66" s="616"/>
    </row>
    <row r="67" spans="2:16">
      <c r="B67" s="604"/>
      <c r="C67" s="395"/>
      <c r="D67" s="591"/>
      <c r="E67" s="570"/>
      <c r="G67" s="604"/>
      <c r="H67" s="674"/>
      <c r="I67" s="570"/>
      <c r="J67" s="616"/>
      <c r="K67" s="570"/>
      <c r="L67" s="570"/>
      <c r="M67" s="570"/>
      <c r="N67" s="570"/>
      <c r="O67" s="570"/>
      <c r="P67" s="616"/>
    </row>
    <row r="68" spans="2:16">
      <c r="B68" s="604"/>
      <c r="C68" s="683" t="str">
        <f>"   Annual Rev. Req, w / "&amp;F17&amp;" Basis Point ROE increase, less Dep."</f>
        <v xml:space="preserve">   Annual Rev. Req, w /  Basis Point ROE increase, less Dep.</v>
      </c>
      <c r="D68" s="591"/>
      <c r="E68" s="570"/>
      <c r="G68" s="675">
        <f>G60</f>
        <v>47460581.765372105</v>
      </c>
      <c r="H68" s="674"/>
      <c r="I68" s="570"/>
      <c r="J68" s="616"/>
      <c r="K68" s="570"/>
      <c r="L68" s="570"/>
      <c r="M68" s="570"/>
      <c r="N68" s="570"/>
      <c r="O68" s="570"/>
      <c r="P68" s="616"/>
    </row>
    <row r="69" spans="2:16">
      <c r="B69" s="604"/>
      <c r="C69" s="683" t="str">
        <f>"   FCR with "&amp;F17&amp;" Basis Point ROE increase, less Depreciation"</f>
        <v xml:space="preserve">   FCR with  Basis Point ROE increase, less Depreciation</v>
      </c>
      <c r="D69" s="591"/>
      <c r="E69" s="570"/>
      <c r="G69" s="673">
        <f>G68/G64</f>
        <v>0.11105211956921898</v>
      </c>
      <c r="H69" s="674"/>
      <c r="I69" s="570"/>
      <c r="J69" s="616"/>
      <c r="K69" s="570"/>
      <c r="L69" s="570"/>
      <c r="M69" s="570"/>
      <c r="N69" s="570"/>
      <c r="O69" s="570"/>
      <c r="P69" s="616"/>
    </row>
    <row r="70" spans="2:16">
      <c r="B70" s="604"/>
      <c r="C70" s="663" t="str">
        <f>"   FCR less Depreciation  (TCOS, ln "&amp;TCOS!B34&amp;")"</f>
        <v xml:space="preserve">   FCR less Depreciation  (TCOS, ln 10)</v>
      </c>
      <c r="D70" s="591"/>
      <c r="E70" s="570"/>
      <c r="G70" s="694">
        <f>TCOS!L34</f>
        <v>0.11105211956921898</v>
      </c>
      <c r="H70" s="674"/>
      <c r="I70" s="570"/>
      <c r="J70" s="616"/>
      <c r="K70" s="570"/>
      <c r="L70" s="570"/>
      <c r="M70" s="570"/>
      <c r="N70" s="570"/>
      <c r="O70" s="570"/>
      <c r="P70" s="616"/>
    </row>
    <row r="71" spans="2:16">
      <c r="B71" s="604"/>
      <c r="C71" s="683" t="str">
        <f>"   Incremental FCR with "&amp;F17&amp;" Basis Point ROE increase, less Depreciation"</f>
        <v xml:space="preserve">   Incremental FCR with  Basis Point ROE increase, less Depreciation</v>
      </c>
      <c r="D71" s="591"/>
      <c r="E71" s="570"/>
      <c r="G71" s="673">
        <f>G69-G70</f>
        <v>0</v>
      </c>
      <c r="H71" s="674"/>
      <c r="I71" s="570"/>
      <c r="J71" s="616"/>
      <c r="K71" s="570"/>
      <c r="L71" s="570"/>
      <c r="M71" s="570"/>
      <c r="N71" s="570"/>
      <c r="O71" s="570"/>
      <c r="P71" s="616"/>
    </row>
    <row r="72" spans="2:16">
      <c r="B72" s="604"/>
      <c r="C72" s="683"/>
      <c r="D72" s="591"/>
      <c r="E72" s="570"/>
      <c r="F72" s="673"/>
      <c r="G72" s="570"/>
      <c r="H72" s="674"/>
      <c r="I72" s="570"/>
      <c r="J72" s="616"/>
      <c r="K72" s="570"/>
      <c r="L72" s="570"/>
      <c r="M72" s="570"/>
      <c r="N72" s="570"/>
      <c r="O72" s="570"/>
      <c r="P72" s="616"/>
    </row>
    <row r="73" spans="2:16" ht="18.75">
      <c r="B73" s="623" t="s">
        <v>175</v>
      </c>
      <c r="C73" s="622" t="s">
        <v>269</v>
      </c>
      <c r="D73" s="591"/>
      <c r="E73" s="570"/>
      <c r="F73" s="673"/>
      <c r="G73" s="570"/>
      <c r="H73" s="674"/>
      <c r="I73" s="570"/>
      <c r="J73" s="616"/>
      <c r="K73" s="570"/>
      <c r="L73" s="570"/>
      <c r="M73" s="570"/>
      <c r="N73" s="570"/>
      <c r="O73" s="570"/>
      <c r="P73" s="616"/>
    </row>
    <row r="74" spans="2:16">
      <c r="B74" s="604"/>
      <c r="C74" s="683"/>
      <c r="D74" s="591"/>
      <c r="E74" s="570"/>
      <c r="F74" s="673"/>
      <c r="G74" s="570"/>
      <c r="H74" s="674"/>
      <c r="I74" s="570"/>
      <c r="J74" s="616"/>
      <c r="K74" s="570"/>
      <c r="L74" s="570"/>
      <c r="M74" s="570"/>
      <c r="N74" s="570"/>
      <c r="O74" s="570"/>
      <c r="P74" s="616"/>
    </row>
    <row r="75" spans="2:16">
      <c r="B75" s="604"/>
      <c r="C75" s="683" t="str">
        <f>+"Average Transmission Plant Balance for "&amp;TCOS!L4&amp;" (TCOS, ln "&amp;TCOS!B68&amp;")"</f>
        <v>Average Transmission Plant Balance for 2020 (TCOS, ln 21)</v>
      </c>
      <c r="D75" s="591"/>
      <c r="G75" s="674">
        <f>TCOS!L68</f>
        <v>653424683.64230776</v>
      </c>
      <c r="I75" s="570"/>
      <c r="J75" s="616"/>
      <c r="K75" s="697"/>
      <c r="L75" s="570"/>
      <c r="M75" s="570"/>
      <c r="N75" s="570"/>
      <c r="O75" s="570"/>
      <c r="P75" s="616"/>
    </row>
    <row r="76" spans="2:16">
      <c r="B76" s="604"/>
      <c r="C76" s="695" t="str">
        <f>"Annual Depreciation and Amortization Expense  (TCOS, ln "&amp;TCOS!B174&amp;")"</f>
        <v>Annual Depreciation and Amortization Expense  (TCOS, ln 100)</v>
      </c>
      <c r="D76" s="591"/>
      <c r="E76" s="570"/>
      <c r="G76" s="696">
        <f>TCOS!L174</f>
        <v>17643723.657234021</v>
      </c>
      <c r="H76" s="674"/>
      <c r="I76" s="570"/>
      <c r="J76" s="616"/>
      <c r="K76" s="570"/>
      <c r="L76" s="570"/>
      <c r="M76" s="570"/>
      <c r="N76" s="570"/>
      <c r="O76" s="570"/>
      <c r="P76" s="616"/>
    </row>
    <row r="77" spans="2:16">
      <c r="B77" s="604"/>
      <c r="C77" s="683" t="s">
        <v>270</v>
      </c>
      <c r="D77" s="591"/>
      <c r="E77" s="570"/>
      <c r="G77" s="673">
        <f>+G76/G75</f>
        <v>2.7001924014998489E-2</v>
      </c>
      <c r="H77" s="698"/>
      <c r="I77" s="570"/>
      <c r="J77" s="616"/>
      <c r="K77" s="570"/>
      <c r="L77" s="570"/>
      <c r="M77" s="570"/>
      <c r="N77" s="570"/>
      <c r="O77" s="570"/>
      <c r="P77" s="616"/>
    </row>
    <row r="78" spans="2:16">
      <c r="B78" s="604"/>
      <c r="C78" s="683" t="s">
        <v>271</v>
      </c>
      <c r="D78" s="591"/>
      <c r="E78" s="570"/>
      <c r="G78" s="698">
        <f>1/G77</f>
        <v>37.034397972697796</v>
      </c>
      <c r="H78" s="674"/>
      <c r="I78" s="570"/>
      <c r="J78" s="616"/>
      <c r="K78" s="570"/>
      <c r="L78" s="570"/>
      <c r="M78" s="570"/>
      <c r="N78" s="570"/>
      <c r="O78" s="570"/>
      <c r="P78" s="616"/>
    </row>
    <row r="79" spans="2:16">
      <c r="B79" s="604"/>
      <c r="C79" s="683" t="s">
        <v>272</v>
      </c>
      <c r="D79" s="591"/>
      <c r="E79" s="570"/>
      <c r="G79" s="699">
        <f>ROUND(G78,0)</f>
        <v>37</v>
      </c>
      <c r="H79" s="674"/>
      <c r="I79" s="570"/>
      <c r="J79" s="616"/>
      <c r="K79" s="570"/>
      <c r="L79" s="570"/>
      <c r="M79" s="570"/>
      <c r="N79" s="570"/>
      <c r="O79" s="570"/>
      <c r="P79" s="616"/>
    </row>
    <row r="80" spans="2:16">
      <c r="B80" s="604"/>
      <c r="C80" s="683"/>
      <c r="D80" s="591"/>
      <c r="E80" s="570"/>
      <c r="G80" s="699"/>
      <c r="H80" s="674"/>
      <c r="I80" s="570"/>
      <c r="J80" s="616"/>
      <c r="K80" s="570"/>
      <c r="L80" s="570"/>
      <c r="M80" s="570"/>
      <c r="N80" s="570"/>
      <c r="O80" s="570"/>
      <c r="P80" s="616"/>
    </row>
    <row r="81" spans="1:16">
      <c r="C81" s="700"/>
      <c r="D81" s="701"/>
      <c r="E81" s="701"/>
      <c r="F81" s="701"/>
      <c r="G81" s="697"/>
      <c r="H81" s="697"/>
      <c r="I81" s="702"/>
      <c r="J81" s="702"/>
      <c r="K81" s="702"/>
      <c r="L81" s="702"/>
      <c r="M81" s="702"/>
      <c r="N81" s="702"/>
      <c r="O81" s="570"/>
      <c r="P81" s="702"/>
    </row>
    <row r="82" spans="1:16" ht="20.25">
      <c r="A82" s="703" t="s">
        <v>774</v>
      </c>
      <c r="B82" s="570"/>
      <c r="C82" s="683"/>
      <c r="D82" s="591"/>
      <c r="E82" s="570"/>
      <c r="F82" s="673"/>
      <c r="G82" s="570"/>
      <c r="H82" s="674"/>
      <c r="K82" s="704"/>
      <c r="L82" s="704"/>
      <c r="M82" s="704"/>
      <c r="N82" s="619" t="str">
        <f>"Page "&amp;SUM(P$8:P82)&amp;" of "</f>
        <v xml:space="preserve">Page 2 of </v>
      </c>
      <c r="O82" s="620">
        <f>COUNT(P$8:P$58715)</f>
        <v>2</v>
      </c>
      <c r="P82" s="695">
        <v>1</v>
      </c>
    </row>
    <row r="83" spans="1:16">
      <c r="B83" s="570"/>
      <c r="C83" s="570"/>
      <c r="D83" s="591"/>
      <c r="E83" s="570"/>
      <c r="F83" s="570"/>
      <c r="G83" s="570"/>
      <c r="H83" s="674"/>
      <c r="I83" s="570"/>
      <c r="J83" s="616"/>
      <c r="K83" s="570"/>
      <c r="L83" s="570"/>
      <c r="M83" s="570"/>
      <c r="N83" s="570"/>
      <c r="O83" s="570"/>
      <c r="P83" s="616"/>
    </row>
    <row r="84" spans="1:16" ht="18">
      <c r="B84" s="623" t="s">
        <v>176</v>
      </c>
      <c r="C84" s="705" t="s">
        <v>292</v>
      </c>
      <c r="D84" s="591"/>
      <c r="E84" s="570"/>
      <c r="F84" s="570"/>
      <c r="G84" s="570"/>
      <c r="H84" s="674"/>
      <c r="I84" s="674"/>
      <c r="J84" s="697"/>
      <c r="K84" s="674"/>
      <c r="L84" s="674"/>
      <c r="M84" s="674"/>
      <c r="N84" s="674"/>
      <c r="O84" s="570"/>
      <c r="P84" s="697"/>
    </row>
    <row r="85" spans="1:16" ht="15" customHeight="1">
      <c r="B85" s="623"/>
      <c r="C85" s="622"/>
      <c r="D85" s="591"/>
      <c r="E85" s="570"/>
      <c r="F85" s="570"/>
      <c r="G85" s="570"/>
      <c r="H85" s="674"/>
      <c r="I85" s="674"/>
      <c r="J85" s="697"/>
      <c r="K85" s="674"/>
      <c r="L85" s="674"/>
      <c r="M85" s="674"/>
      <c r="N85" s="674"/>
      <c r="O85" s="570"/>
      <c r="P85" s="697"/>
    </row>
    <row r="86" spans="1:16" ht="18.75">
      <c r="B86" s="623"/>
      <c r="C86" s="622" t="s">
        <v>293</v>
      </c>
      <c r="D86" s="591"/>
      <c r="E86" s="570"/>
      <c r="F86" s="570"/>
      <c r="G86" s="570"/>
      <c r="H86" s="674"/>
      <c r="I86" s="674"/>
      <c r="J86" s="697"/>
      <c r="K86" s="674"/>
      <c r="L86" s="674"/>
      <c r="M86" s="674"/>
      <c r="N86" s="674"/>
      <c r="O86" s="570"/>
      <c r="P86" s="697"/>
    </row>
    <row r="87" spans="1:16" ht="15.75" thickBot="1">
      <c r="B87" s="357"/>
      <c r="C87" s="423"/>
      <c r="D87" s="591"/>
      <c r="E87" s="570"/>
      <c r="F87" s="570"/>
      <c r="G87" s="570"/>
      <c r="H87" s="674"/>
      <c r="I87" s="674"/>
      <c r="J87" s="697"/>
      <c r="K87" s="674"/>
      <c r="L87" s="674"/>
      <c r="M87" s="674"/>
      <c r="N87" s="674"/>
      <c r="O87" s="570"/>
      <c r="P87" s="697"/>
    </row>
    <row r="88" spans="1:16" ht="15.75">
      <c r="B88" s="357"/>
      <c r="C88" s="624" t="s">
        <v>294</v>
      </c>
      <c r="D88" s="591"/>
      <c r="E88" s="570"/>
      <c r="F88" s="570"/>
      <c r="G88" s="906"/>
      <c r="H88" s="570" t="s">
        <v>273</v>
      </c>
      <c r="I88" s="570"/>
      <c r="J88" s="616"/>
      <c r="K88" s="706" t="s">
        <v>298</v>
      </c>
      <c r="L88" s="707"/>
      <c r="M88" s="708"/>
      <c r="N88" s="709" t="e">
        <f>VLOOKUP(I94,C101:O160,5)</f>
        <v>#N/A</v>
      </c>
      <c r="O88" s="570"/>
      <c r="P88" s="616"/>
    </row>
    <row r="89" spans="1:16" ht="15.75">
      <c r="B89" s="357"/>
      <c r="C89" s="624"/>
      <c r="D89" s="591"/>
      <c r="E89" s="570"/>
      <c r="F89" s="570"/>
      <c r="G89" s="570"/>
      <c r="H89" s="710"/>
      <c r="I89" s="710"/>
      <c r="J89" s="711"/>
      <c r="K89" s="712" t="s">
        <v>299</v>
      </c>
      <c r="L89" s="713"/>
      <c r="M89" s="616"/>
      <c r="N89" s="714" t="e">
        <f>VLOOKUP(I94,C101:O160,6)</f>
        <v>#N/A</v>
      </c>
      <c r="O89" s="570"/>
      <c r="P89" s="711"/>
    </row>
    <row r="90" spans="1:16" ht="13.5" thickBot="1">
      <c r="B90" s="357"/>
      <c r="C90" s="715" t="s">
        <v>295</v>
      </c>
      <c r="D90" s="1541" t="s">
        <v>116</v>
      </c>
      <c r="E90" s="1541"/>
      <c r="F90" s="1541"/>
      <c r="G90" s="1541"/>
      <c r="H90" s="674"/>
      <c r="I90" s="674"/>
      <c r="J90" s="697"/>
      <c r="K90" s="716" t="s">
        <v>452</v>
      </c>
      <c r="L90" s="717"/>
      <c r="M90" s="717"/>
      <c r="N90" s="718" t="e">
        <f>+N89-N88</f>
        <v>#N/A</v>
      </c>
      <c r="O90" s="570"/>
      <c r="P90" s="697"/>
    </row>
    <row r="91" spans="1:16">
      <c r="B91" s="357"/>
      <c r="C91" s="719"/>
      <c r="D91" s="720"/>
      <c r="E91" s="699"/>
      <c r="F91" s="699"/>
      <c r="G91" s="721"/>
      <c r="H91" s="674"/>
      <c r="I91" s="674"/>
      <c r="J91" s="697"/>
      <c r="K91" s="674"/>
      <c r="L91" s="674"/>
      <c r="M91" s="674"/>
      <c r="N91" s="674"/>
      <c r="O91" s="570"/>
      <c r="P91" s="697"/>
    </row>
    <row r="92" spans="1:16" ht="13.5" thickBot="1">
      <c r="B92" s="357"/>
      <c r="C92" s="722"/>
      <c r="D92" s="723"/>
      <c r="E92" s="721"/>
      <c r="F92" s="721"/>
      <c r="G92" s="721"/>
      <c r="H92" s="721"/>
      <c r="I92" s="721"/>
      <c r="J92" s="724"/>
      <c r="K92" s="721"/>
      <c r="L92" s="721"/>
      <c r="M92" s="721"/>
      <c r="N92" s="721"/>
      <c r="O92" s="604"/>
      <c r="P92" s="724"/>
    </row>
    <row r="93" spans="1:16" ht="13.5" thickBot="1">
      <c r="B93" s="725"/>
      <c r="C93" s="726" t="s">
        <v>296</v>
      </c>
      <c r="D93" s="727"/>
      <c r="E93" s="727"/>
      <c r="F93" s="727"/>
      <c r="G93" s="727"/>
      <c r="H93" s="727"/>
      <c r="I93" s="728"/>
      <c r="J93" s="729"/>
      <c r="K93" s="570"/>
      <c r="L93" s="570"/>
      <c r="M93" s="570"/>
      <c r="N93" s="570"/>
      <c r="O93" s="730"/>
      <c r="P93" s="731"/>
    </row>
    <row r="94" spans="1:16" ht="15">
      <c r="B94" s="725"/>
      <c r="C94" s="732" t="s">
        <v>274</v>
      </c>
      <c r="D94" s="907">
        <v>0</v>
      </c>
      <c r="E94" s="683" t="s">
        <v>275</v>
      </c>
      <c r="G94" s="733"/>
      <c r="H94" s="733"/>
      <c r="I94" s="734">
        <f>TCOS!$L$4</f>
        <v>2020</v>
      </c>
      <c r="J94" s="614"/>
      <c r="K94" s="1542" t="s">
        <v>461</v>
      </c>
      <c r="L94" s="1542"/>
      <c r="M94" s="1542"/>
      <c r="N94" s="1542"/>
      <c r="O94" s="1542"/>
      <c r="P94" s="614"/>
    </row>
    <row r="95" spans="1:16" ht="15">
      <c r="B95" s="725"/>
      <c r="C95" s="732" t="s">
        <v>277</v>
      </c>
      <c r="D95" s="906"/>
      <c r="E95" s="732" t="s">
        <v>278</v>
      </c>
      <c r="F95" s="733"/>
      <c r="H95" s="357"/>
      <c r="I95" s="910">
        <f>IF(G88="",0,$F$17)</f>
        <v>0</v>
      </c>
      <c r="J95" s="735"/>
      <c r="K95" s="697" t="s">
        <v>461</v>
      </c>
      <c r="P95" s="735"/>
    </row>
    <row r="96" spans="1:16">
      <c r="B96" s="725"/>
      <c r="C96" s="732" t="s">
        <v>279</v>
      </c>
      <c r="D96" s="908">
        <v>0</v>
      </c>
      <c r="E96" s="732" t="s">
        <v>280</v>
      </c>
      <c r="F96" s="733"/>
      <c r="H96" s="357"/>
      <c r="I96" s="736">
        <f>$G$70</f>
        <v>0.11105211956921898</v>
      </c>
      <c r="J96" s="737"/>
      <c r="K96" s="357" t="str">
        <f>"          INPUT PROJECTED ARR (WITH &amp; WITHOUT INCENTIVES) FROM EACH PRIOR YEAR"</f>
        <v xml:space="preserve">          INPUT PROJECTED ARR (WITH &amp; WITHOUT INCENTIVES) FROM EACH PRIOR YEAR</v>
      </c>
      <c r="P96" s="737"/>
    </row>
    <row r="97" spans="1:16">
      <c r="B97" s="725"/>
      <c r="C97" s="732" t="s">
        <v>281</v>
      </c>
      <c r="D97" s="738">
        <f>G$79</f>
        <v>37</v>
      </c>
      <c r="E97" s="732" t="s">
        <v>282</v>
      </c>
      <c r="F97" s="733"/>
      <c r="H97" s="357"/>
      <c r="I97" s="736">
        <f>IF(G88="",I96,$G$69)</f>
        <v>0.11105211956921898</v>
      </c>
      <c r="J97" s="739"/>
      <c r="K97" s="357" t="s">
        <v>359</v>
      </c>
      <c r="P97" s="739"/>
    </row>
    <row r="98" spans="1:16" ht="13.5" thickBot="1">
      <c r="B98" s="725"/>
      <c r="C98" s="732" t="s">
        <v>283</v>
      </c>
      <c r="D98" s="909" t="s">
        <v>116</v>
      </c>
      <c r="E98" s="740" t="s">
        <v>284</v>
      </c>
      <c r="F98" s="741"/>
      <c r="G98" s="742"/>
      <c r="H98" s="742"/>
      <c r="I98" s="718">
        <f>IF(D94=0,0,D94/D97)</f>
        <v>0</v>
      </c>
      <c r="J98" s="697"/>
      <c r="K98" s="697" t="s">
        <v>365</v>
      </c>
      <c r="L98" s="697"/>
      <c r="M98" s="697"/>
      <c r="N98" s="697"/>
      <c r="O98" s="616"/>
      <c r="P98" s="697"/>
    </row>
    <row r="99" spans="1:16" ht="51">
      <c r="A99" s="557"/>
      <c r="B99" s="557"/>
      <c r="C99" s="743" t="s">
        <v>274</v>
      </c>
      <c r="D99" s="744" t="s">
        <v>285</v>
      </c>
      <c r="E99" s="745" t="s">
        <v>286</v>
      </c>
      <c r="F99" s="744" t="s">
        <v>287</v>
      </c>
      <c r="G99" s="745" t="s">
        <v>358</v>
      </c>
      <c r="H99" s="746" t="s">
        <v>358</v>
      </c>
      <c r="I99" s="743" t="s">
        <v>297</v>
      </c>
      <c r="J99" s="747"/>
      <c r="K99" s="745" t="s">
        <v>367</v>
      </c>
      <c r="L99" s="748"/>
      <c r="M99" s="745" t="s">
        <v>367</v>
      </c>
      <c r="N99" s="748"/>
      <c r="O99" s="748"/>
      <c r="P99" s="749"/>
    </row>
    <row r="100" spans="1:16" ht="13.5" thickBot="1">
      <c r="B100" s="357"/>
      <c r="C100" s="750" t="s">
        <v>179</v>
      </c>
      <c r="D100" s="751" t="s">
        <v>180</v>
      </c>
      <c r="E100" s="750" t="s">
        <v>38</v>
      </c>
      <c r="F100" s="751" t="s">
        <v>180</v>
      </c>
      <c r="G100" s="752" t="s">
        <v>300</v>
      </c>
      <c r="H100" s="753" t="s">
        <v>302</v>
      </c>
      <c r="I100" s="754" t="s">
        <v>391</v>
      </c>
      <c r="J100" s="755"/>
      <c r="K100" s="752" t="s">
        <v>289</v>
      </c>
      <c r="L100" s="756"/>
      <c r="M100" s="752" t="s">
        <v>302</v>
      </c>
      <c r="N100" s="756"/>
      <c r="O100" s="756"/>
      <c r="P100" s="614"/>
    </row>
    <row r="101" spans="1:16">
      <c r="B101" s="357"/>
      <c r="C101" s="757" t="str">
        <f>IF(D95= "","-",D95)</f>
        <v>-</v>
      </c>
      <c r="D101" s="701">
        <f>+D94</f>
        <v>0</v>
      </c>
      <c r="E101" s="758">
        <f>+I98/12*(12-D96)</f>
        <v>0</v>
      </c>
      <c r="F101" s="701">
        <f t="shared" ref="F101:F160" si="0">+D101-E101</f>
        <v>0</v>
      </c>
      <c r="G101" s="940">
        <f>+$I$96*((D101+F101)/2)+E101</f>
        <v>0</v>
      </c>
      <c r="H101" s="941">
        <f>+$I$97*((D101+F101)/2)+E101</f>
        <v>0</v>
      </c>
      <c r="I101" s="761">
        <f>+H101-G101</f>
        <v>0</v>
      </c>
      <c r="J101" s="761"/>
      <c r="K101" s="1306"/>
      <c r="L101" s="763"/>
      <c r="M101" s="1306"/>
      <c r="N101" s="763"/>
      <c r="O101" s="763"/>
      <c r="P101" s="702"/>
    </row>
    <row r="102" spans="1:16">
      <c r="B102" s="357"/>
      <c r="C102" s="757" t="str">
        <f>IF(D95="","-",+C101+1)</f>
        <v>-</v>
      </c>
      <c r="D102" s="701">
        <f t="shared" ref="D102:D160" si="1">F101</f>
        <v>0</v>
      </c>
      <c r="E102" s="764">
        <f>IF(D102&gt;$I$98,$I$98,D102)</f>
        <v>0</v>
      </c>
      <c r="F102" s="701">
        <f t="shared" si="0"/>
        <v>0</v>
      </c>
      <c r="G102" s="758">
        <f t="shared" ref="G102:G160" si="2">+$I$96*((D102+F102)/2)+E102</f>
        <v>0</v>
      </c>
      <c r="H102" s="765">
        <f t="shared" ref="H102:H160" si="3">+$I$97*((D102+F102)/2)+E102</f>
        <v>0</v>
      </c>
      <c r="I102" s="761">
        <f t="shared" ref="I102:I160" si="4">+H102-G102</f>
        <v>0</v>
      </c>
      <c r="J102" s="761"/>
      <c r="K102" s="1306"/>
      <c r="L102" s="767"/>
      <c r="M102" s="1306"/>
      <c r="N102" s="767"/>
      <c r="O102" s="767"/>
      <c r="P102" s="702"/>
    </row>
    <row r="103" spans="1:16">
      <c r="B103" s="357"/>
      <c r="C103" s="757" t="str">
        <f>IF(D95="","-",+C102+1)</f>
        <v>-</v>
      </c>
      <c r="D103" s="701">
        <f t="shared" si="1"/>
        <v>0</v>
      </c>
      <c r="E103" s="764">
        <f t="shared" ref="E103:E160" si="5">IF(D103&gt;$I$98,$I$98,D103)</f>
        <v>0</v>
      </c>
      <c r="F103" s="701">
        <f t="shared" si="0"/>
        <v>0</v>
      </c>
      <c r="G103" s="758">
        <f t="shared" si="2"/>
        <v>0</v>
      </c>
      <c r="H103" s="765">
        <f t="shared" si="3"/>
        <v>0</v>
      </c>
      <c r="I103" s="761">
        <f t="shared" si="4"/>
        <v>0</v>
      </c>
      <c r="J103" s="761"/>
      <c r="K103" s="1306"/>
      <c r="L103" s="767"/>
      <c r="M103" s="1306"/>
      <c r="N103" s="767"/>
      <c r="O103" s="767"/>
      <c r="P103" s="702"/>
    </row>
    <row r="104" spans="1:16">
      <c r="B104" s="357"/>
      <c r="C104" s="757" t="str">
        <f>IF(D95="","-",+C103+1)</f>
        <v>-</v>
      </c>
      <c r="D104" s="701">
        <f t="shared" si="1"/>
        <v>0</v>
      </c>
      <c r="E104" s="764">
        <f t="shared" si="5"/>
        <v>0</v>
      </c>
      <c r="F104" s="701">
        <f t="shared" si="0"/>
        <v>0</v>
      </c>
      <c r="G104" s="758">
        <f t="shared" si="2"/>
        <v>0</v>
      </c>
      <c r="H104" s="765">
        <f t="shared" si="3"/>
        <v>0</v>
      </c>
      <c r="I104" s="761">
        <f t="shared" si="4"/>
        <v>0</v>
      </c>
      <c r="J104" s="761"/>
      <c r="K104" s="1306"/>
      <c r="L104" s="767"/>
      <c r="M104" s="1306"/>
      <c r="N104" s="767"/>
      <c r="O104" s="767"/>
      <c r="P104" s="702"/>
    </row>
    <row r="105" spans="1:16">
      <c r="B105" s="357"/>
      <c r="C105" s="757" t="str">
        <f>IF(D95="","-",+C104+1)</f>
        <v>-</v>
      </c>
      <c r="D105" s="701">
        <f t="shared" si="1"/>
        <v>0</v>
      </c>
      <c r="E105" s="764">
        <f t="shared" si="5"/>
        <v>0</v>
      </c>
      <c r="F105" s="701">
        <f t="shared" si="0"/>
        <v>0</v>
      </c>
      <c r="G105" s="758">
        <f t="shared" si="2"/>
        <v>0</v>
      </c>
      <c r="H105" s="765">
        <f t="shared" si="3"/>
        <v>0</v>
      </c>
      <c r="I105" s="761">
        <f t="shared" si="4"/>
        <v>0</v>
      </c>
      <c r="J105" s="761"/>
      <c r="K105" s="1306"/>
      <c r="L105" s="767"/>
      <c r="M105" s="1306"/>
      <c r="N105" s="767"/>
      <c r="O105" s="767"/>
      <c r="P105" s="702"/>
    </row>
    <row r="106" spans="1:16">
      <c r="B106" s="357"/>
      <c r="C106" s="757" t="str">
        <f>IF(D95="","-",+C105+1)</f>
        <v>-</v>
      </c>
      <c r="D106" s="701">
        <f t="shared" si="1"/>
        <v>0</v>
      </c>
      <c r="E106" s="764">
        <f t="shared" si="5"/>
        <v>0</v>
      </c>
      <c r="F106" s="701">
        <f t="shared" si="0"/>
        <v>0</v>
      </c>
      <c r="G106" s="758">
        <f t="shared" si="2"/>
        <v>0</v>
      </c>
      <c r="H106" s="765">
        <f t="shared" si="3"/>
        <v>0</v>
      </c>
      <c r="I106" s="761">
        <f t="shared" si="4"/>
        <v>0</v>
      </c>
      <c r="J106" s="761"/>
      <c r="K106" s="911"/>
      <c r="L106" s="767"/>
      <c r="M106" s="911"/>
      <c r="N106" s="767"/>
      <c r="O106" s="767"/>
      <c r="P106" s="702"/>
    </row>
    <row r="107" spans="1:16">
      <c r="B107" s="357"/>
      <c r="C107" s="757" t="str">
        <f>IF(D95="","-",+C106+1)</f>
        <v>-</v>
      </c>
      <c r="D107" s="701">
        <f>F106</f>
        <v>0</v>
      </c>
      <c r="E107" s="764">
        <f t="shared" si="5"/>
        <v>0</v>
      </c>
      <c r="F107" s="701">
        <f t="shared" si="0"/>
        <v>0</v>
      </c>
      <c r="G107" s="758">
        <f t="shared" si="2"/>
        <v>0</v>
      </c>
      <c r="H107" s="765">
        <f t="shared" si="3"/>
        <v>0</v>
      </c>
      <c r="I107" s="761">
        <f t="shared" si="4"/>
        <v>0</v>
      </c>
      <c r="J107" s="761"/>
      <c r="K107" s="911"/>
      <c r="L107" s="767"/>
      <c r="M107" s="911"/>
      <c r="N107" s="767"/>
      <c r="O107" s="767"/>
      <c r="P107" s="702"/>
    </row>
    <row r="108" spans="1:16">
      <c r="B108" s="357"/>
      <c r="C108" s="757" t="str">
        <f>IF(D95="","-",+C107+1)</f>
        <v>-</v>
      </c>
      <c r="D108" s="701">
        <f t="shared" si="1"/>
        <v>0</v>
      </c>
      <c r="E108" s="764">
        <f t="shared" si="5"/>
        <v>0</v>
      </c>
      <c r="F108" s="701">
        <f t="shared" si="0"/>
        <v>0</v>
      </c>
      <c r="G108" s="758">
        <f t="shared" si="2"/>
        <v>0</v>
      </c>
      <c r="H108" s="765">
        <f t="shared" si="3"/>
        <v>0</v>
      </c>
      <c r="I108" s="761">
        <f t="shared" si="4"/>
        <v>0</v>
      </c>
      <c r="J108" s="761"/>
      <c r="K108" s="911"/>
      <c r="L108" s="767"/>
      <c r="M108" s="911"/>
      <c r="N108" s="767"/>
      <c r="O108" s="767"/>
      <c r="P108" s="702"/>
    </row>
    <row r="109" spans="1:16">
      <c r="B109" s="357"/>
      <c r="C109" s="757" t="str">
        <f>IF(D95="","-",+C108+1)</f>
        <v>-</v>
      </c>
      <c r="D109" s="701">
        <f t="shared" si="1"/>
        <v>0</v>
      </c>
      <c r="E109" s="764">
        <f t="shared" si="5"/>
        <v>0</v>
      </c>
      <c r="F109" s="701">
        <f t="shared" si="0"/>
        <v>0</v>
      </c>
      <c r="G109" s="758">
        <f t="shared" si="2"/>
        <v>0</v>
      </c>
      <c r="H109" s="765">
        <f t="shared" si="3"/>
        <v>0</v>
      </c>
      <c r="I109" s="761">
        <f t="shared" si="4"/>
        <v>0</v>
      </c>
      <c r="J109" s="761"/>
      <c r="K109" s="911"/>
      <c r="L109" s="767"/>
      <c r="M109" s="911"/>
      <c r="N109" s="767"/>
      <c r="O109" s="767"/>
      <c r="P109" s="702"/>
    </row>
    <row r="110" spans="1:16">
      <c r="B110" s="357"/>
      <c r="C110" s="757" t="str">
        <f>IF(D95="","-",+C109+1)</f>
        <v>-</v>
      </c>
      <c r="D110" s="701">
        <f t="shared" si="1"/>
        <v>0</v>
      </c>
      <c r="E110" s="764">
        <f t="shared" si="5"/>
        <v>0</v>
      </c>
      <c r="F110" s="701">
        <f t="shared" si="0"/>
        <v>0</v>
      </c>
      <c r="G110" s="758">
        <f t="shared" si="2"/>
        <v>0</v>
      </c>
      <c r="H110" s="765">
        <f t="shared" si="3"/>
        <v>0</v>
      </c>
      <c r="I110" s="761">
        <f t="shared" si="4"/>
        <v>0</v>
      </c>
      <c r="J110" s="761"/>
      <c r="K110" s="911"/>
      <c r="L110" s="767"/>
      <c r="M110" s="911"/>
      <c r="N110" s="767"/>
      <c r="O110" s="767"/>
      <c r="P110" s="702"/>
    </row>
    <row r="111" spans="1:16">
      <c r="B111" s="357"/>
      <c r="C111" s="757" t="str">
        <f>IF(D95="","-",+C110+1)</f>
        <v>-</v>
      </c>
      <c r="D111" s="701">
        <f t="shared" si="1"/>
        <v>0</v>
      </c>
      <c r="E111" s="764">
        <f t="shared" si="5"/>
        <v>0</v>
      </c>
      <c r="F111" s="701">
        <f t="shared" si="0"/>
        <v>0</v>
      </c>
      <c r="G111" s="758">
        <f t="shared" si="2"/>
        <v>0</v>
      </c>
      <c r="H111" s="765">
        <f t="shared" si="3"/>
        <v>0</v>
      </c>
      <c r="I111" s="761">
        <f t="shared" si="4"/>
        <v>0</v>
      </c>
      <c r="J111" s="761"/>
      <c r="K111" s="911"/>
      <c r="L111" s="767"/>
      <c r="M111" s="911"/>
      <c r="N111" s="767"/>
      <c r="O111" s="767"/>
      <c r="P111" s="702"/>
    </row>
    <row r="112" spans="1:16">
      <c r="B112" s="357"/>
      <c r="C112" s="757" t="str">
        <f>IF(D95="","-",+C111+1)</f>
        <v>-</v>
      </c>
      <c r="D112" s="701">
        <f t="shared" si="1"/>
        <v>0</v>
      </c>
      <c r="E112" s="764">
        <f t="shared" si="5"/>
        <v>0</v>
      </c>
      <c r="F112" s="701">
        <f t="shared" si="0"/>
        <v>0</v>
      </c>
      <c r="G112" s="758">
        <f t="shared" si="2"/>
        <v>0</v>
      </c>
      <c r="H112" s="765">
        <f t="shared" si="3"/>
        <v>0</v>
      </c>
      <c r="I112" s="761">
        <f t="shared" si="4"/>
        <v>0</v>
      </c>
      <c r="J112" s="761"/>
      <c r="K112" s="911"/>
      <c r="L112" s="767"/>
      <c r="M112" s="911"/>
      <c r="N112" s="767"/>
      <c r="O112" s="767"/>
      <c r="P112" s="702"/>
    </row>
    <row r="113" spans="2:16">
      <c r="B113" s="357"/>
      <c r="C113" s="757" t="str">
        <f>IF(D95="","-",+C112+1)</f>
        <v>-</v>
      </c>
      <c r="D113" s="701">
        <f t="shared" si="1"/>
        <v>0</v>
      </c>
      <c r="E113" s="764">
        <f t="shared" si="5"/>
        <v>0</v>
      </c>
      <c r="F113" s="701">
        <f t="shared" si="0"/>
        <v>0</v>
      </c>
      <c r="G113" s="758">
        <f t="shared" si="2"/>
        <v>0</v>
      </c>
      <c r="H113" s="765">
        <f t="shared" si="3"/>
        <v>0</v>
      </c>
      <c r="I113" s="761">
        <f t="shared" si="4"/>
        <v>0</v>
      </c>
      <c r="J113" s="761"/>
      <c r="K113" s="911"/>
      <c r="L113" s="767"/>
      <c r="M113" s="911"/>
      <c r="N113" s="768"/>
      <c r="O113" s="767"/>
      <c r="P113" s="702"/>
    </row>
    <row r="114" spans="2:16">
      <c r="B114" s="357"/>
      <c r="C114" s="757" t="str">
        <f>IF(D95="","-",+C113+1)</f>
        <v>-</v>
      </c>
      <c r="D114" s="701">
        <f t="shared" si="1"/>
        <v>0</v>
      </c>
      <c r="E114" s="764">
        <f t="shared" si="5"/>
        <v>0</v>
      </c>
      <c r="F114" s="701">
        <f t="shared" si="0"/>
        <v>0</v>
      </c>
      <c r="G114" s="758">
        <f t="shared" si="2"/>
        <v>0</v>
      </c>
      <c r="H114" s="765">
        <f t="shared" si="3"/>
        <v>0</v>
      </c>
      <c r="I114" s="761">
        <f t="shared" si="4"/>
        <v>0</v>
      </c>
      <c r="J114" s="761"/>
      <c r="K114" s="911"/>
      <c r="L114" s="767"/>
      <c r="M114" s="911"/>
      <c r="N114" s="767"/>
      <c r="O114" s="767"/>
      <c r="P114" s="702"/>
    </row>
    <row r="115" spans="2:16">
      <c r="B115" s="357"/>
      <c r="C115" s="757" t="str">
        <f>IF(D95="","-",+C114+1)</f>
        <v>-</v>
      </c>
      <c r="D115" s="701">
        <f t="shared" si="1"/>
        <v>0</v>
      </c>
      <c r="E115" s="764">
        <f t="shared" si="5"/>
        <v>0</v>
      </c>
      <c r="F115" s="701">
        <f t="shared" si="0"/>
        <v>0</v>
      </c>
      <c r="G115" s="758">
        <f t="shared" si="2"/>
        <v>0</v>
      </c>
      <c r="H115" s="765">
        <f t="shared" si="3"/>
        <v>0</v>
      </c>
      <c r="I115" s="761">
        <f t="shared" si="4"/>
        <v>0</v>
      </c>
      <c r="J115" s="761"/>
      <c r="K115" s="911"/>
      <c r="L115" s="767"/>
      <c r="M115" s="911"/>
      <c r="N115" s="767"/>
      <c r="O115" s="767"/>
      <c r="P115" s="702"/>
    </row>
    <row r="116" spans="2:16">
      <c r="B116" s="357"/>
      <c r="C116" s="757" t="str">
        <f>IF(D95="","-",+C115+1)</f>
        <v>-</v>
      </c>
      <c r="D116" s="701">
        <f t="shared" si="1"/>
        <v>0</v>
      </c>
      <c r="E116" s="764">
        <f t="shared" si="5"/>
        <v>0</v>
      </c>
      <c r="F116" s="701">
        <f t="shared" si="0"/>
        <v>0</v>
      </c>
      <c r="G116" s="758">
        <f t="shared" si="2"/>
        <v>0</v>
      </c>
      <c r="H116" s="765">
        <f t="shared" si="3"/>
        <v>0</v>
      </c>
      <c r="I116" s="761">
        <f t="shared" si="4"/>
        <v>0</v>
      </c>
      <c r="J116" s="761"/>
      <c r="K116" s="911"/>
      <c r="L116" s="767"/>
      <c r="M116" s="911"/>
      <c r="N116" s="767"/>
      <c r="O116" s="767"/>
      <c r="P116" s="702"/>
    </row>
    <row r="117" spans="2:16">
      <c r="B117" s="357"/>
      <c r="C117" s="757" t="str">
        <f>IF(D95="","-",+C116+1)</f>
        <v>-</v>
      </c>
      <c r="D117" s="701">
        <f t="shared" si="1"/>
        <v>0</v>
      </c>
      <c r="E117" s="764">
        <f t="shared" si="5"/>
        <v>0</v>
      </c>
      <c r="F117" s="701">
        <f t="shared" si="0"/>
        <v>0</v>
      </c>
      <c r="G117" s="758">
        <f t="shared" si="2"/>
        <v>0</v>
      </c>
      <c r="H117" s="765">
        <f t="shared" si="3"/>
        <v>0</v>
      </c>
      <c r="I117" s="761">
        <f t="shared" si="4"/>
        <v>0</v>
      </c>
      <c r="J117" s="761"/>
      <c r="K117" s="911"/>
      <c r="L117" s="767"/>
      <c r="M117" s="911"/>
      <c r="N117" s="767"/>
      <c r="O117" s="767"/>
      <c r="P117" s="702"/>
    </row>
    <row r="118" spans="2:16">
      <c r="B118" s="357"/>
      <c r="C118" s="757" t="str">
        <f>IF(D95="","-",+C117+1)</f>
        <v>-</v>
      </c>
      <c r="D118" s="701">
        <f t="shared" si="1"/>
        <v>0</v>
      </c>
      <c r="E118" s="764">
        <f t="shared" si="5"/>
        <v>0</v>
      </c>
      <c r="F118" s="701">
        <f t="shared" si="0"/>
        <v>0</v>
      </c>
      <c r="G118" s="758">
        <f t="shared" si="2"/>
        <v>0</v>
      </c>
      <c r="H118" s="765">
        <f t="shared" si="3"/>
        <v>0</v>
      </c>
      <c r="I118" s="761">
        <f t="shared" si="4"/>
        <v>0</v>
      </c>
      <c r="J118" s="761"/>
      <c r="K118" s="911"/>
      <c r="L118" s="767"/>
      <c r="M118" s="911"/>
      <c r="N118" s="767"/>
      <c r="O118" s="767"/>
      <c r="P118" s="702"/>
    </row>
    <row r="119" spans="2:16">
      <c r="B119" s="357"/>
      <c r="C119" s="757" t="str">
        <f>IF(D95="","-",+C118+1)</f>
        <v>-</v>
      </c>
      <c r="D119" s="701">
        <f t="shared" si="1"/>
        <v>0</v>
      </c>
      <c r="E119" s="764">
        <f t="shared" si="5"/>
        <v>0</v>
      </c>
      <c r="F119" s="701">
        <f t="shared" si="0"/>
        <v>0</v>
      </c>
      <c r="G119" s="758">
        <f t="shared" si="2"/>
        <v>0</v>
      </c>
      <c r="H119" s="765">
        <f t="shared" si="3"/>
        <v>0</v>
      </c>
      <c r="I119" s="761">
        <f t="shared" si="4"/>
        <v>0</v>
      </c>
      <c r="J119" s="761"/>
      <c r="K119" s="911"/>
      <c r="L119" s="767"/>
      <c r="M119" s="911"/>
      <c r="N119" s="767"/>
      <c r="O119" s="767"/>
      <c r="P119" s="702"/>
    </row>
    <row r="120" spans="2:16">
      <c r="B120" s="357"/>
      <c r="C120" s="757" t="str">
        <f>IF(D95="","-",+C119+1)</f>
        <v>-</v>
      </c>
      <c r="D120" s="701">
        <f t="shared" si="1"/>
        <v>0</v>
      </c>
      <c r="E120" s="764">
        <f t="shared" si="5"/>
        <v>0</v>
      </c>
      <c r="F120" s="701">
        <f t="shared" si="0"/>
        <v>0</v>
      </c>
      <c r="G120" s="758">
        <f t="shared" si="2"/>
        <v>0</v>
      </c>
      <c r="H120" s="765">
        <f t="shared" si="3"/>
        <v>0</v>
      </c>
      <c r="I120" s="761">
        <f t="shared" si="4"/>
        <v>0</v>
      </c>
      <c r="J120" s="761"/>
      <c r="K120" s="911"/>
      <c r="L120" s="767"/>
      <c r="M120" s="911"/>
      <c r="N120" s="767"/>
      <c r="O120" s="767"/>
      <c r="P120" s="702"/>
    </row>
    <row r="121" spans="2:16">
      <c r="B121" s="357"/>
      <c r="C121" s="757" t="str">
        <f>IF(D95="","-",+C120+1)</f>
        <v>-</v>
      </c>
      <c r="D121" s="701">
        <f t="shared" si="1"/>
        <v>0</v>
      </c>
      <c r="E121" s="764">
        <f t="shared" si="5"/>
        <v>0</v>
      </c>
      <c r="F121" s="701">
        <f t="shared" si="0"/>
        <v>0</v>
      </c>
      <c r="G121" s="758">
        <f t="shared" si="2"/>
        <v>0</v>
      </c>
      <c r="H121" s="765">
        <f t="shared" si="3"/>
        <v>0</v>
      </c>
      <c r="I121" s="761">
        <f t="shared" si="4"/>
        <v>0</v>
      </c>
      <c r="J121" s="761"/>
      <c r="K121" s="911"/>
      <c r="L121" s="767"/>
      <c r="M121" s="911"/>
      <c r="N121" s="767"/>
      <c r="O121" s="767"/>
      <c r="P121" s="702"/>
    </row>
    <row r="122" spans="2:16">
      <c r="B122" s="357"/>
      <c r="C122" s="757" t="str">
        <f>IF(D95="","-",+C121+1)</f>
        <v>-</v>
      </c>
      <c r="D122" s="701">
        <f t="shared" si="1"/>
        <v>0</v>
      </c>
      <c r="E122" s="764">
        <f t="shared" si="5"/>
        <v>0</v>
      </c>
      <c r="F122" s="701">
        <f t="shared" si="0"/>
        <v>0</v>
      </c>
      <c r="G122" s="758">
        <f t="shared" si="2"/>
        <v>0</v>
      </c>
      <c r="H122" s="765">
        <f t="shared" si="3"/>
        <v>0</v>
      </c>
      <c r="I122" s="761">
        <f t="shared" si="4"/>
        <v>0</v>
      </c>
      <c r="J122" s="761"/>
      <c r="K122" s="911"/>
      <c r="L122" s="767"/>
      <c r="M122" s="911"/>
      <c r="N122" s="767"/>
      <c r="O122" s="767"/>
      <c r="P122" s="702"/>
    </row>
    <row r="123" spans="2:16">
      <c r="B123" s="357"/>
      <c r="C123" s="757" t="str">
        <f>IF(D95="","-",+C122+1)</f>
        <v>-</v>
      </c>
      <c r="D123" s="701">
        <f t="shared" si="1"/>
        <v>0</v>
      </c>
      <c r="E123" s="764">
        <f t="shared" si="5"/>
        <v>0</v>
      </c>
      <c r="F123" s="701">
        <f t="shared" si="0"/>
        <v>0</v>
      </c>
      <c r="G123" s="758">
        <f t="shared" si="2"/>
        <v>0</v>
      </c>
      <c r="H123" s="765">
        <f t="shared" si="3"/>
        <v>0</v>
      </c>
      <c r="I123" s="761">
        <f t="shared" si="4"/>
        <v>0</v>
      </c>
      <c r="J123" s="761"/>
      <c r="K123" s="911"/>
      <c r="L123" s="767"/>
      <c r="M123" s="911"/>
      <c r="N123" s="767"/>
      <c r="O123" s="767"/>
      <c r="P123" s="702"/>
    </row>
    <row r="124" spans="2:16">
      <c r="B124" s="357"/>
      <c r="C124" s="757" t="str">
        <f>IF(D95="","-",+C123+1)</f>
        <v>-</v>
      </c>
      <c r="D124" s="701">
        <f t="shared" si="1"/>
        <v>0</v>
      </c>
      <c r="E124" s="764">
        <f t="shared" si="5"/>
        <v>0</v>
      </c>
      <c r="F124" s="701">
        <f t="shared" si="0"/>
        <v>0</v>
      </c>
      <c r="G124" s="758">
        <f t="shared" si="2"/>
        <v>0</v>
      </c>
      <c r="H124" s="765">
        <f t="shared" si="3"/>
        <v>0</v>
      </c>
      <c r="I124" s="761">
        <f t="shared" si="4"/>
        <v>0</v>
      </c>
      <c r="J124" s="761"/>
      <c r="K124" s="911"/>
      <c r="L124" s="767"/>
      <c r="M124" s="911"/>
      <c r="N124" s="767"/>
      <c r="O124" s="767"/>
      <c r="P124" s="702"/>
    </row>
    <row r="125" spans="2:16">
      <c r="B125" s="357"/>
      <c r="C125" s="757" t="str">
        <f>IF(D95="","-",+C124+1)</f>
        <v>-</v>
      </c>
      <c r="D125" s="701">
        <f t="shared" si="1"/>
        <v>0</v>
      </c>
      <c r="E125" s="764">
        <f t="shared" si="5"/>
        <v>0</v>
      </c>
      <c r="F125" s="701">
        <f t="shared" si="0"/>
        <v>0</v>
      </c>
      <c r="G125" s="758">
        <f t="shared" si="2"/>
        <v>0</v>
      </c>
      <c r="H125" s="765">
        <f t="shared" si="3"/>
        <v>0</v>
      </c>
      <c r="I125" s="761">
        <f t="shared" si="4"/>
        <v>0</v>
      </c>
      <c r="J125" s="761"/>
      <c r="K125" s="911"/>
      <c r="L125" s="767"/>
      <c r="M125" s="911"/>
      <c r="N125" s="767"/>
      <c r="O125" s="767"/>
      <c r="P125" s="702"/>
    </row>
    <row r="126" spans="2:16">
      <c r="B126" s="357"/>
      <c r="C126" s="757" t="str">
        <f>IF(D95="","-",+C125+1)</f>
        <v>-</v>
      </c>
      <c r="D126" s="701">
        <f t="shared" si="1"/>
        <v>0</v>
      </c>
      <c r="E126" s="764">
        <f t="shared" si="5"/>
        <v>0</v>
      </c>
      <c r="F126" s="701">
        <f t="shared" si="0"/>
        <v>0</v>
      </c>
      <c r="G126" s="758">
        <f t="shared" si="2"/>
        <v>0</v>
      </c>
      <c r="H126" s="765">
        <f t="shared" si="3"/>
        <v>0</v>
      </c>
      <c r="I126" s="761">
        <f t="shared" si="4"/>
        <v>0</v>
      </c>
      <c r="J126" s="761"/>
      <c r="K126" s="911"/>
      <c r="L126" s="767"/>
      <c r="M126" s="911"/>
      <c r="N126" s="767"/>
      <c r="O126" s="767"/>
      <c r="P126" s="702"/>
    </row>
    <row r="127" spans="2:16">
      <c r="B127" s="357"/>
      <c r="C127" s="757" t="str">
        <f>IF(D95="","-",+C126+1)</f>
        <v>-</v>
      </c>
      <c r="D127" s="701">
        <f t="shared" si="1"/>
        <v>0</v>
      </c>
      <c r="E127" s="764">
        <f t="shared" si="5"/>
        <v>0</v>
      </c>
      <c r="F127" s="701">
        <f t="shared" si="0"/>
        <v>0</v>
      </c>
      <c r="G127" s="758">
        <f t="shared" si="2"/>
        <v>0</v>
      </c>
      <c r="H127" s="765">
        <f t="shared" si="3"/>
        <v>0</v>
      </c>
      <c r="I127" s="761">
        <f t="shared" si="4"/>
        <v>0</v>
      </c>
      <c r="J127" s="761"/>
      <c r="K127" s="911"/>
      <c r="L127" s="767"/>
      <c r="M127" s="911"/>
      <c r="N127" s="767"/>
      <c r="O127" s="767"/>
      <c r="P127" s="702"/>
    </row>
    <row r="128" spans="2:16">
      <c r="B128" s="357"/>
      <c r="C128" s="757" t="str">
        <f>IF(D95="","-",+C127+1)</f>
        <v>-</v>
      </c>
      <c r="D128" s="701">
        <f t="shared" si="1"/>
        <v>0</v>
      </c>
      <c r="E128" s="764">
        <f t="shared" si="5"/>
        <v>0</v>
      </c>
      <c r="F128" s="701">
        <f t="shared" si="0"/>
        <v>0</v>
      </c>
      <c r="G128" s="758">
        <f t="shared" si="2"/>
        <v>0</v>
      </c>
      <c r="H128" s="765">
        <f t="shared" si="3"/>
        <v>0</v>
      </c>
      <c r="I128" s="761">
        <f t="shared" si="4"/>
        <v>0</v>
      </c>
      <c r="J128" s="761"/>
      <c r="K128" s="911"/>
      <c r="L128" s="767"/>
      <c r="M128" s="911"/>
      <c r="N128" s="767"/>
      <c r="O128" s="767"/>
      <c r="P128" s="702"/>
    </row>
    <row r="129" spans="2:16">
      <c r="B129" s="357"/>
      <c r="C129" s="757" t="str">
        <f>IF(D95="","-",+C128+1)</f>
        <v>-</v>
      </c>
      <c r="D129" s="701">
        <f t="shared" si="1"/>
        <v>0</v>
      </c>
      <c r="E129" s="764">
        <f t="shared" si="5"/>
        <v>0</v>
      </c>
      <c r="F129" s="701">
        <f t="shared" si="0"/>
        <v>0</v>
      </c>
      <c r="G129" s="759">
        <f t="shared" si="2"/>
        <v>0</v>
      </c>
      <c r="H129" s="765">
        <f t="shared" si="3"/>
        <v>0</v>
      </c>
      <c r="I129" s="761">
        <f t="shared" si="4"/>
        <v>0</v>
      </c>
      <c r="J129" s="761"/>
      <c r="K129" s="911"/>
      <c r="L129" s="767"/>
      <c r="M129" s="911"/>
      <c r="N129" s="767"/>
      <c r="O129" s="767"/>
      <c r="P129" s="702"/>
    </row>
    <row r="130" spans="2:16">
      <c r="B130" s="357"/>
      <c r="C130" s="757" t="str">
        <f>IF(D95="","-",+C129+1)</f>
        <v>-</v>
      </c>
      <c r="D130" s="701">
        <f t="shared" si="1"/>
        <v>0</v>
      </c>
      <c r="E130" s="764">
        <f t="shared" si="5"/>
        <v>0</v>
      </c>
      <c r="F130" s="701">
        <f t="shared" si="0"/>
        <v>0</v>
      </c>
      <c r="G130" s="758">
        <f t="shared" si="2"/>
        <v>0</v>
      </c>
      <c r="H130" s="765">
        <f t="shared" si="3"/>
        <v>0</v>
      </c>
      <c r="I130" s="761">
        <f t="shared" si="4"/>
        <v>0</v>
      </c>
      <c r="J130" s="761"/>
      <c r="K130" s="911"/>
      <c r="L130" s="767"/>
      <c r="M130" s="911"/>
      <c r="N130" s="767"/>
      <c r="O130" s="767"/>
      <c r="P130" s="702"/>
    </row>
    <row r="131" spans="2:16">
      <c r="B131" s="357"/>
      <c r="C131" s="757" t="str">
        <f>IF(D95="","-",+C130+1)</f>
        <v>-</v>
      </c>
      <c r="D131" s="701">
        <f t="shared" si="1"/>
        <v>0</v>
      </c>
      <c r="E131" s="764">
        <f t="shared" si="5"/>
        <v>0</v>
      </c>
      <c r="F131" s="701">
        <f t="shared" si="0"/>
        <v>0</v>
      </c>
      <c r="G131" s="758">
        <f t="shared" si="2"/>
        <v>0</v>
      </c>
      <c r="H131" s="765">
        <f t="shared" si="3"/>
        <v>0</v>
      </c>
      <c r="I131" s="761">
        <f t="shared" si="4"/>
        <v>0</v>
      </c>
      <c r="J131" s="761"/>
      <c r="K131" s="911"/>
      <c r="L131" s="767"/>
      <c r="M131" s="911"/>
      <c r="N131" s="767"/>
      <c r="O131" s="767"/>
      <c r="P131" s="702"/>
    </row>
    <row r="132" spans="2:16">
      <c r="B132" s="357"/>
      <c r="C132" s="757" t="str">
        <f>IF(D95="","-",+C131+1)</f>
        <v>-</v>
      </c>
      <c r="D132" s="701">
        <f t="shared" si="1"/>
        <v>0</v>
      </c>
      <c r="E132" s="764">
        <f t="shared" si="5"/>
        <v>0</v>
      </c>
      <c r="F132" s="701">
        <f t="shared" si="0"/>
        <v>0</v>
      </c>
      <c r="G132" s="758">
        <f t="shared" si="2"/>
        <v>0</v>
      </c>
      <c r="H132" s="765">
        <f t="shared" si="3"/>
        <v>0</v>
      </c>
      <c r="I132" s="761">
        <f t="shared" si="4"/>
        <v>0</v>
      </c>
      <c r="J132" s="761"/>
      <c r="K132" s="911"/>
      <c r="L132" s="767"/>
      <c r="M132" s="911"/>
      <c r="N132" s="767"/>
      <c r="O132" s="767"/>
      <c r="P132" s="702"/>
    </row>
    <row r="133" spans="2:16">
      <c r="B133" s="357"/>
      <c r="C133" s="757" t="str">
        <f>IF(D95="","-",+C132+1)</f>
        <v>-</v>
      </c>
      <c r="D133" s="701">
        <f t="shared" si="1"/>
        <v>0</v>
      </c>
      <c r="E133" s="764">
        <f t="shared" si="5"/>
        <v>0</v>
      </c>
      <c r="F133" s="701">
        <f t="shared" si="0"/>
        <v>0</v>
      </c>
      <c r="G133" s="758">
        <f t="shared" si="2"/>
        <v>0</v>
      </c>
      <c r="H133" s="765">
        <f t="shared" si="3"/>
        <v>0</v>
      </c>
      <c r="I133" s="761">
        <f t="shared" si="4"/>
        <v>0</v>
      </c>
      <c r="J133" s="761"/>
      <c r="K133" s="911"/>
      <c r="L133" s="767"/>
      <c r="M133" s="911"/>
      <c r="N133" s="767"/>
      <c r="O133" s="767"/>
      <c r="P133" s="702"/>
    </row>
    <row r="134" spans="2:16">
      <c r="B134" s="357"/>
      <c r="C134" s="757" t="str">
        <f>IF(D95="","-",+C133+1)</f>
        <v>-</v>
      </c>
      <c r="D134" s="701">
        <f t="shared" si="1"/>
        <v>0</v>
      </c>
      <c r="E134" s="764">
        <f t="shared" si="5"/>
        <v>0</v>
      </c>
      <c r="F134" s="701">
        <f t="shared" si="0"/>
        <v>0</v>
      </c>
      <c r="G134" s="758">
        <f t="shared" si="2"/>
        <v>0</v>
      </c>
      <c r="H134" s="765">
        <f t="shared" si="3"/>
        <v>0</v>
      </c>
      <c r="I134" s="761">
        <f t="shared" si="4"/>
        <v>0</v>
      </c>
      <c r="J134" s="761"/>
      <c r="K134" s="911"/>
      <c r="L134" s="767"/>
      <c r="M134" s="911"/>
      <c r="N134" s="767"/>
      <c r="O134" s="767"/>
      <c r="P134" s="702"/>
    </row>
    <row r="135" spans="2:16">
      <c r="B135" s="357"/>
      <c r="C135" s="757" t="str">
        <f>IF(D95="","-",+C134+1)</f>
        <v>-</v>
      </c>
      <c r="D135" s="701">
        <f t="shared" si="1"/>
        <v>0</v>
      </c>
      <c r="E135" s="764">
        <f t="shared" si="5"/>
        <v>0</v>
      </c>
      <c r="F135" s="701">
        <f t="shared" si="0"/>
        <v>0</v>
      </c>
      <c r="G135" s="758">
        <f t="shared" si="2"/>
        <v>0</v>
      </c>
      <c r="H135" s="765">
        <f t="shared" si="3"/>
        <v>0</v>
      </c>
      <c r="I135" s="761">
        <f t="shared" si="4"/>
        <v>0</v>
      </c>
      <c r="J135" s="761"/>
      <c r="K135" s="911"/>
      <c r="L135" s="767"/>
      <c r="M135" s="911"/>
      <c r="N135" s="767"/>
      <c r="O135" s="767"/>
      <c r="P135" s="702"/>
    </row>
    <row r="136" spans="2:16">
      <c r="B136" s="357"/>
      <c r="C136" s="757" t="str">
        <f>IF(D95="","-",+C135+1)</f>
        <v>-</v>
      </c>
      <c r="D136" s="701">
        <f t="shared" si="1"/>
        <v>0</v>
      </c>
      <c r="E136" s="764">
        <f t="shared" si="5"/>
        <v>0</v>
      </c>
      <c r="F136" s="701">
        <f t="shared" si="0"/>
        <v>0</v>
      </c>
      <c r="G136" s="758">
        <f t="shared" si="2"/>
        <v>0</v>
      </c>
      <c r="H136" s="765">
        <f t="shared" si="3"/>
        <v>0</v>
      </c>
      <c r="I136" s="761">
        <f t="shared" si="4"/>
        <v>0</v>
      </c>
      <c r="J136" s="761"/>
      <c r="K136" s="911"/>
      <c r="L136" s="767"/>
      <c r="M136" s="911"/>
      <c r="N136" s="767"/>
      <c r="O136" s="767"/>
      <c r="P136" s="702"/>
    </row>
    <row r="137" spans="2:16">
      <c r="B137" s="357"/>
      <c r="C137" s="757" t="str">
        <f>IF(D95="","-",+C136+1)</f>
        <v>-</v>
      </c>
      <c r="D137" s="701">
        <f t="shared" si="1"/>
        <v>0</v>
      </c>
      <c r="E137" s="764">
        <f t="shared" si="5"/>
        <v>0</v>
      </c>
      <c r="F137" s="701">
        <f t="shared" si="0"/>
        <v>0</v>
      </c>
      <c r="G137" s="758">
        <f t="shared" si="2"/>
        <v>0</v>
      </c>
      <c r="H137" s="765">
        <f t="shared" si="3"/>
        <v>0</v>
      </c>
      <c r="I137" s="761">
        <f t="shared" si="4"/>
        <v>0</v>
      </c>
      <c r="J137" s="761"/>
      <c r="K137" s="911"/>
      <c r="L137" s="767"/>
      <c r="M137" s="911"/>
      <c r="N137" s="767"/>
      <c r="O137" s="767"/>
      <c r="P137" s="702"/>
    </row>
    <row r="138" spans="2:16">
      <c r="B138" s="357"/>
      <c r="C138" s="757" t="str">
        <f>IF(D95="","-",+C137+1)</f>
        <v>-</v>
      </c>
      <c r="D138" s="701">
        <f t="shared" si="1"/>
        <v>0</v>
      </c>
      <c r="E138" s="764">
        <f t="shared" si="5"/>
        <v>0</v>
      </c>
      <c r="F138" s="701">
        <f t="shared" si="0"/>
        <v>0</v>
      </c>
      <c r="G138" s="758">
        <f t="shared" si="2"/>
        <v>0</v>
      </c>
      <c r="H138" s="765">
        <f t="shared" si="3"/>
        <v>0</v>
      </c>
      <c r="I138" s="761">
        <f t="shared" si="4"/>
        <v>0</v>
      </c>
      <c r="J138" s="761"/>
      <c r="K138" s="911"/>
      <c r="L138" s="767"/>
      <c r="M138" s="911"/>
      <c r="N138" s="767"/>
      <c r="O138" s="767"/>
      <c r="P138" s="702"/>
    </row>
    <row r="139" spans="2:16">
      <c r="B139" s="357"/>
      <c r="C139" s="757" t="str">
        <f>IF(D95="","-",+C138+1)</f>
        <v>-</v>
      </c>
      <c r="D139" s="701">
        <f t="shared" si="1"/>
        <v>0</v>
      </c>
      <c r="E139" s="764">
        <f t="shared" si="5"/>
        <v>0</v>
      </c>
      <c r="F139" s="701">
        <f t="shared" si="0"/>
        <v>0</v>
      </c>
      <c r="G139" s="758">
        <f t="shared" si="2"/>
        <v>0</v>
      </c>
      <c r="H139" s="765">
        <f t="shared" si="3"/>
        <v>0</v>
      </c>
      <c r="I139" s="761">
        <f t="shared" si="4"/>
        <v>0</v>
      </c>
      <c r="J139" s="761"/>
      <c r="K139" s="911"/>
      <c r="L139" s="767"/>
      <c r="M139" s="911"/>
      <c r="N139" s="767"/>
      <c r="O139" s="767"/>
      <c r="P139" s="702"/>
    </row>
    <row r="140" spans="2:16">
      <c r="B140" s="357"/>
      <c r="C140" s="757" t="str">
        <f>IF(D95="","-",+C139+1)</f>
        <v>-</v>
      </c>
      <c r="D140" s="701">
        <f t="shared" si="1"/>
        <v>0</v>
      </c>
      <c r="E140" s="764">
        <f t="shared" si="5"/>
        <v>0</v>
      </c>
      <c r="F140" s="701">
        <f t="shared" si="0"/>
        <v>0</v>
      </c>
      <c r="G140" s="758">
        <f t="shared" si="2"/>
        <v>0</v>
      </c>
      <c r="H140" s="765">
        <f t="shared" si="3"/>
        <v>0</v>
      </c>
      <c r="I140" s="761">
        <f t="shared" si="4"/>
        <v>0</v>
      </c>
      <c r="J140" s="761"/>
      <c r="K140" s="911"/>
      <c r="L140" s="767"/>
      <c r="M140" s="911"/>
      <c r="N140" s="767"/>
      <c r="O140" s="767"/>
      <c r="P140" s="702"/>
    </row>
    <row r="141" spans="2:16">
      <c r="B141" s="357"/>
      <c r="C141" s="757" t="str">
        <f>IF(D95="","-",+C140+1)</f>
        <v>-</v>
      </c>
      <c r="D141" s="701">
        <f t="shared" si="1"/>
        <v>0</v>
      </c>
      <c r="E141" s="764">
        <f t="shared" si="5"/>
        <v>0</v>
      </c>
      <c r="F141" s="701">
        <f t="shared" si="0"/>
        <v>0</v>
      </c>
      <c r="G141" s="758">
        <f t="shared" si="2"/>
        <v>0</v>
      </c>
      <c r="H141" s="765">
        <f t="shared" si="3"/>
        <v>0</v>
      </c>
      <c r="I141" s="761">
        <f t="shared" si="4"/>
        <v>0</v>
      </c>
      <c r="J141" s="761"/>
      <c r="K141" s="911"/>
      <c r="L141" s="767"/>
      <c r="M141" s="911"/>
      <c r="N141" s="767"/>
      <c r="O141" s="767"/>
      <c r="P141" s="702"/>
    </row>
    <row r="142" spans="2:16">
      <c r="B142" s="357"/>
      <c r="C142" s="757" t="str">
        <f>IF(D95="","-",+C141+1)</f>
        <v>-</v>
      </c>
      <c r="D142" s="701">
        <f t="shared" si="1"/>
        <v>0</v>
      </c>
      <c r="E142" s="764">
        <f t="shared" si="5"/>
        <v>0</v>
      </c>
      <c r="F142" s="701">
        <f t="shared" si="0"/>
        <v>0</v>
      </c>
      <c r="G142" s="758">
        <v>0</v>
      </c>
      <c r="H142" s="765">
        <f t="shared" si="3"/>
        <v>0</v>
      </c>
      <c r="I142" s="761">
        <f t="shared" si="4"/>
        <v>0</v>
      </c>
      <c r="J142" s="761"/>
      <c r="K142" s="911"/>
      <c r="L142" s="767"/>
      <c r="M142" s="911"/>
      <c r="N142" s="767"/>
      <c r="O142" s="767"/>
      <c r="P142" s="702"/>
    </row>
    <row r="143" spans="2:16">
      <c r="B143" s="357"/>
      <c r="C143" s="757" t="str">
        <f>IF(D95="","-",+C142+1)</f>
        <v>-</v>
      </c>
      <c r="D143" s="701">
        <f t="shared" si="1"/>
        <v>0</v>
      </c>
      <c r="E143" s="764">
        <f t="shared" si="5"/>
        <v>0</v>
      </c>
      <c r="F143" s="701">
        <f t="shared" si="0"/>
        <v>0</v>
      </c>
      <c r="G143" s="758">
        <f t="shared" si="2"/>
        <v>0</v>
      </c>
      <c r="H143" s="765">
        <f t="shared" si="3"/>
        <v>0</v>
      </c>
      <c r="I143" s="761">
        <f t="shared" si="4"/>
        <v>0</v>
      </c>
      <c r="J143" s="761"/>
      <c r="K143" s="911"/>
      <c r="L143" s="767"/>
      <c r="M143" s="911"/>
      <c r="N143" s="767"/>
      <c r="O143" s="767"/>
      <c r="P143" s="702"/>
    </row>
    <row r="144" spans="2:16">
      <c r="B144" s="357"/>
      <c r="C144" s="757" t="str">
        <f>IF(D95="","-",+C143+1)</f>
        <v>-</v>
      </c>
      <c r="D144" s="701">
        <f t="shared" si="1"/>
        <v>0</v>
      </c>
      <c r="E144" s="764">
        <f t="shared" si="5"/>
        <v>0</v>
      </c>
      <c r="F144" s="701">
        <f t="shared" si="0"/>
        <v>0</v>
      </c>
      <c r="G144" s="758">
        <f t="shared" si="2"/>
        <v>0</v>
      </c>
      <c r="H144" s="765">
        <f t="shared" si="3"/>
        <v>0</v>
      </c>
      <c r="I144" s="761">
        <f t="shared" si="4"/>
        <v>0</v>
      </c>
      <c r="J144" s="761"/>
      <c r="K144" s="911"/>
      <c r="L144" s="767"/>
      <c r="M144" s="911"/>
      <c r="N144" s="767"/>
      <c r="O144" s="767"/>
      <c r="P144" s="702"/>
    </row>
    <row r="145" spans="2:16">
      <c r="B145" s="357"/>
      <c r="C145" s="757" t="str">
        <f>IF(D95="","-",+C144+1)</f>
        <v>-</v>
      </c>
      <c r="D145" s="701">
        <f t="shared" si="1"/>
        <v>0</v>
      </c>
      <c r="E145" s="764">
        <f t="shared" si="5"/>
        <v>0</v>
      </c>
      <c r="F145" s="701">
        <f t="shared" si="0"/>
        <v>0</v>
      </c>
      <c r="G145" s="758">
        <f t="shared" si="2"/>
        <v>0</v>
      </c>
      <c r="H145" s="765">
        <f t="shared" si="3"/>
        <v>0</v>
      </c>
      <c r="I145" s="761">
        <f t="shared" si="4"/>
        <v>0</v>
      </c>
      <c r="J145" s="761"/>
      <c r="K145" s="911"/>
      <c r="L145" s="767"/>
      <c r="M145" s="911"/>
      <c r="N145" s="767"/>
      <c r="O145" s="767"/>
      <c r="P145" s="702"/>
    </row>
    <row r="146" spans="2:16">
      <c r="B146" s="357"/>
      <c r="C146" s="757" t="str">
        <f>IF(D95="","-",+C145+1)</f>
        <v>-</v>
      </c>
      <c r="D146" s="701">
        <f t="shared" si="1"/>
        <v>0</v>
      </c>
      <c r="E146" s="764">
        <f t="shared" si="5"/>
        <v>0</v>
      </c>
      <c r="F146" s="701">
        <f t="shared" si="0"/>
        <v>0</v>
      </c>
      <c r="G146" s="758">
        <f t="shared" si="2"/>
        <v>0</v>
      </c>
      <c r="H146" s="765">
        <f t="shared" si="3"/>
        <v>0</v>
      </c>
      <c r="I146" s="761">
        <f t="shared" si="4"/>
        <v>0</v>
      </c>
      <c r="J146" s="761"/>
      <c r="K146" s="911"/>
      <c r="L146" s="767"/>
      <c r="M146" s="911"/>
      <c r="N146" s="767"/>
      <c r="O146" s="767"/>
      <c r="P146" s="702"/>
    </row>
    <row r="147" spans="2:16">
      <c r="B147" s="357"/>
      <c r="C147" s="757" t="str">
        <f>IF(D95="","-",+C146+1)</f>
        <v>-</v>
      </c>
      <c r="D147" s="701">
        <f t="shared" si="1"/>
        <v>0</v>
      </c>
      <c r="E147" s="764">
        <f t="shared" si="5"/>
        <v>0</v>
      </c>
      <c r="F147" s="701">
        <f t="shared" si="0"/>
        <v>0</v>
      </c>
      <c r="G147" s="758">
        <f t="shared" si="2"/>
        <v>0</v>
      </c>
      <c r="H147" s="765">
        <f t="shared" si="3"/>
        <v>0</v>
      </c>
      <c r="I147" s="761">
        <f t="shared" si="4"/>
        <v>0</v>
      </c>
      <c r="J147" s="761"/>
      <c r="K147" s="911"/>
      <c r="L147" s="767"/>
      <c r="M147" s="911"/>
      <c r="N147" s="767"/>
      <c r="O147" s="767"/>
      <c r="P147" s="702"/>
    </row>
    <row r="148" spans="2:16">
      <c r="B148" s="357"/>
      <c r="C148" s="757" t="str">
        <f>IF(D95="","-",+C147+1)</f>
        <v>-</v>
      </c>
      <c r="D148" s="701">
        <f t="shared" si="1"/>
        <v>0</v>
      </c>
      <c r="E148" s="764">
        <f t="shared" si="5"/>
        <v>0</v>
      </c>
      <c r="F148" s="701">
        <f t="shared" si="0"/>
        <v>0</v>
      </c>
      <c r="G148" s="758">
        <f t="shared" si="2"/>
        <v>0</v>
      </c>
      <c r="H148" s="765">
        <f t="shared" si="3"/>
        <v>0</v>
      </c>
      <c r="I148" s="761">
        <f t="shared" si="4"/>
        <v>0</v>
      </c>
      <c r="J148" s="761"/>
      <c r="K148" s="911"/>
      <c r="L148" s="767"/>
      <c r="M148" s="911"/>
      <c r="N148" s="767"/>
      <c r="O148" s="767"/>
      <c r="P148" s="702"/>
    </row>
    <row r="149" spans="2:16">
      <c r="B149" s="357"/>
      <c r="C149" s="757" t="str">
        <f>IF(D95="","-",+C148+1)</f>
        <v>-</v>
      </c>
      <c r="D149" s="701">
        <f t="shared" si="1"/>
        <v>0</v>
      </c>
      <c r="E149" s="764">
        <f t="shared" si="5"/>
        <v>0</v>
      </c>
      <c r="F149" s="701">
        <f t="shared" si="0"/>
        <v>0</v>
      </c>
      <c r="G149" s="758">
        <f t="shared" si="2"/>
        <v>0</v>
      </c>
      <c r="H149" s="765">
        <f t="shared" si="3"/>
        <v>0</v>
      </c>
      <c r="I149" s="761">
        <f t="shared" si="4"/>
        <v>0</v>
      </c>
      <c r="J149" s="761"/>
      <c r="K149" s="911"/>
      <c r="L149" s="767"/>
      <c r="M149" s="911"/>
      <c r="N149" s="767"/>
      <c r="O149" s="767"/>
      <c r="P149" s="702"/>
    </row>
    <row r="150" spans="2:16">
      <c r="B150" s="357"/>
      <c r="C150" s="757" t="str">
        <f>IF(D95="","-",+C149+1)</f>
        <v>-</v>
      </c>
      <c r="D150" s="701">
        <f t="shared" si="1"/>
        <v>0</v>
      </c>
      <c r="E150" s="764">
        <f t="shared" si="5"/>
        <v>0</v>
      </c>
      <c r="F150" s="701">
        <f t="shared" si="0"/>
        <v>0</v>
      </c>
      <c r="G150" s="758">
        <f t="shared" si="2"/>
        <v>0</v>
      </c>
      <c r="H150" s="765">
        <f t="shared" si="3"/>
        <v>0</v>
      </c>
      <c r="I150" s="761">
        <f t="shared" si="4"/>
        <v>0</v>
      </c>
      <c r="J150" s="761"/>
      <c r="K150" s="911"/>
      <c r="L150" s="767"/>
      <c r="M150" s="911"/>
      <c r="N150" s="767"/>
      <c r="O150" s="767"/>
      <c r="P150" s="702"/>
    </row>
    <row r="151" spans="2:16">
      <c r="B151" s="357"/>
      <c r="C151" s="757" t="str">
        <f>IF(D95="","-",+C150+1)</f>
        <v>-</v>
      </c>
      <c r="D151" s="701">
        <f t="shared" si="1"/>
        <v>0</v>
      </c>
      <c r="E151" s="764">
        <f t="shared" si="5"/>
        <v>0</v>
      </c>
      <c r="F151" s="701">
        <f t="shared" si="0"/>
        <v>0</v>
      </c>
      <c r="G151" s="758">
        <f t="shared" si="2"/>
        <v>0</v>
      </c>
      <c r="H151" s="765">
        <f t="shared" si="3"/>
        <v>0</v>
      </c>
      <c r="I151" s="761">
        <f t="shared" si="4"/>
        <v>0</v>
      </c>
      <c r="J151" s="761"/>
      <c r="K151" s="911"/>
      <c r="L151" s="767"/>
      <c r="M151" s="911"/>
      <c r="N151" s="767"/>
      <c r="O151" s="767"/>
      <c r="P151" s="702"/>
    </row>
    <row r="152" spans="2:16">
      <c r="B152" s="357"/>
      <c r="C152" s="757" t="str">
        <f>IF(D95="","-",+C151+1)</f>
        <v>-</v>
      </c>
      <c r="D152" s="701">
        <f t="shared" si="1"/>
        <v>0</v>
      </c>
      <c r="E152" s="764">
        <f t="shared" si="5"/>
        <v>0</v>
      </c>
      <c r="F152" s="701">
        <f t="shared" si="0"/>
        <v>0</v>
      </c>
      <c r="G152" s="758">
        <f t="shared" si="2"/>
        <v>0</v>
      </c>
      <c r="H152" s="765">
        <f t="shared" si="3"/>
        <v>0</v>
      </c>
      <c r="I152" s="761">
        <f t="shared" si="4"/>
        <v>0</v>
      </c>
      <c r="J152" s="761"/>
      <c r="K152" s="911"/>
      <c r="L152" s="767"/>
      <c r="M152" s="911"/>
      <c r="N152" s="767"/>
      <c r="O152" s="767"/>
      <c r="P152" s="702"/>
    </row>
    <row r="153" spans="2:16">
      <c r="B153" s="357"/>
      <c r="C153" s="757" t="str">
        <f>IF(D95="","-",+C152+1)</f>
        <v>-</v>
      </c>
      <c r="D153" s="701">
        <f t="shared" si="1"/>
        <v>0</v>
      </c>
      <c r="E153" s="764">
        <f t="shared" si="5"/>
        <v>0</v>
      </c>
      <c r="F153" s="701">
        <f t="shared" si="0"/>
        <v>0</v>
      </c>
      <c r="G153" s="758">
        <f t="shared" si="2"/>
        <v>0</v>
      </c>
      <c r="H153" s="765">
        <f t="shared" si="3"/>
        <v>0</v>
      </c>
      <c r="I153" s="761">
        <f t="shared" si="4"/>
        <v>0</v>
      </c>
      <c r="J153" s="761"/>
      <c r="K153" s="911"/>
      <c r="L153" s="767"/>
      <c r="M153" s="911"/>
      <c r="N153" s="767"/>
      <c r="O153" s="767"/>
      <c r="P153" s="702"/>
    </row>
    <row r="154" spans="2:16">
      <c r="B154" s="357"/>
      <c r="C154" s="757" t="str">
        <f>IF(D95="","-",+C153+1)</f>
        <v>-</v>
      </c>
      <c r="D154" s="701">
        <f t="shared" si="1"/>
        <v>0</v>
      </c>
      <c r="E154" s="764">
        <f t="shared" si="5"/>
        <v>0</v>
      </c>
      <c r="F154" s="701">
        <f t="shared" si="0"/>
        <v>0</v>
      </c>
      <c r="G154" s="758">
        <f t="shared" si="2"/>
        <v>0</v>
      </c>
      <c r="H154" s="765">
        <f t="shared" si="3"/>
        <v>0</v>
      </c>
      <c r="I154" s="761">
        <f t="shared" si="4"/>
        <v>0</v>
      </c>
      <c r="J154" s="761"/>
      <c r="K154" s="911"/>
      <c r="L154" s="767"/>
      <c r="M154" s="911"/>
      <c r="N154" s="767"/>
      <c r="O154" s="767"/>
      <c r="P154" s="702"/>
    </row>
    <row r="155" spans="2:16">
      <c r="B155" s="357"/>
      <c r="C155" s="757" t="str">
        <f>IF(D95="","-",+C154+1)</f>
        <v>-</v>
      </c>
      <c r="D155" s="701">
        <f t="shared" si="1"/>
        <v>0</v>
      </c>
      <c r="E155" s="764">
        <f t="shared" si="5"/>
        <v>0</v>
      </c>
      <c r="F155" s="701">
        <f t="shared" si="0"/>
        <v>0</v>
      </c>
      <c r="G155" s="758">
        <f t="shared" si="2"/>
        <v>0</v>
      </c>
      <c r="H155" s="765">
        <f t="shared" si="3"/>
        <v>0</v>
      </c>
      <c r="I155" s="761">
        <f t="shared" si="4"/>
        <v>0</v>
      </c>
      <c r="J155" s="761"/>
      <c r="K155" s="911"/>
      <c r="L155" s="767"/>
      <c r="M155" s="911"/>
      <c r="N155" s="767"/>
      <c r="O155" s="767"/>
      <c r="P155" s="702"/>
    </row>
    <row r="156" spans="2:16">
      <c r="B156" s="357"/>
      <c r="C156" s="757" t="str">
        <f>IF(D95="","-",+C155+1)</f>
        <v>-</v>
      </c>
      <c r="D156" s="701">
        <f t="shared" si="1"/>
        <v>0</v>
      </c>
      <c r="E156" s="764">
        <f t="shared" si="5"/>
        <v>0</v>
      </c>
      <c r="F156" s="701">
        <f t="shared" si="0"/>
        <v>0</v>
      </c>
      <c r="G156" s="758">
        <f t="shared" si="2"/>
        <v>0</v>
      </c>
      <c r="H156" s="765">
        <f t="shared" si="3"/>
        <v>0</v>
      </c>
      <c r="I156" s="761">
        <f t="shared" si="4"/>
        <v>0</v>
      </c>
      <c r="J156" s="761"/>
      <c r="K156" s="911"/>
      <c r="L156" s="767"/>
      <c r="M156" s="911"/>
      <c r="N156" s="767"/>
      <c r="O156" s="767"/>
      <c r="P156" s="702"/>
    </row>
    <row r="157" spans="2:16">
      <c r="B157" s="357"/>
      <c r="C157" s="757" t="str">
        <f>IF(D95="","-",+C156+1)</f>
        <v>-</v>
      </c>
      <c r="D157" s="701">
        <f t="shared" si="1"/>
        <v>0</v>
      </c>
      <c r="E157" s="764">
        <f t="shared" si="5"/>
        <v>0</v>
      </c>
      <c r="F157" s="701">
        <f t="shared" si="0"/>
        <v>0</v>
      </c>
      <c r="G157" s="758">
        <f t="shared" si="2"/>
        <v>0</v>
      </c>
      <c r="H157" s="765">
        <f t="shared" si="3"/>
        <v>0</v>
      </c>
      <c r="I157" s="761">
        <f t="shared" si="4"/>
        <v>0</v>
      </c>
      <c r="J157" s="761"/>
      <c r="K157" s="911"/>
      <c r="L157" s="767"/>
      <c r="M157" s="911"/>
      <c r="N157" s="767"/>
      <c r="O157" s="767"/>
      <c r="P157" s="702"/>
    </row>
    <row r="158" spans="2:16">
      <c r="B158" s="357"/>
      <c r="C158" s="757" t="str">
        <f>IF(D95="","-",+C157+1)</f>
        <v>-</v>
      </c>
      <c r="D158" s="701">
        <f t="shared" si="1"/>
        <v>0</v>
      </c>
      <c r="E158" s="764">
        <f t="shared" si="5"/>
        <v>0</v>
      </c>
      <c r="F158" s="701">
        <f t="shared" si="0"/>
        <v>0</v>
      </c>
      <c r="G158" s="758">
        <f t="shared" si="2"/>
        <v>0</v>
      </c>
      <c r="H158" s="765">
        <f t="shared" si="3"/>
        <v>0</v>
      </c>
      <c r="I158" s="761">
        <f t="shared" si="4"/>
        <v>0</v>
      </c>
      <c r="J158" s="761"/>
      <c r="K158" s="911"/>
      <c r="L158" s="767"/>
      <c r="M158" s="911"/>
      <c r="N158" s="767"/>
      <c r="O158" s="767"/>
      <c r="P158" s="702"/>
    </row>
    <row r="159" spans="2:16">
      <c r="B159" s="357"/>
      <c r="C159" s="757" t="str">
        <f>IF(D95="","-",+C158+1)</f>
        <v>-</v>
      </c>
      <c r="D159" s="701">
        <f t="shared" si="1"/>
        <v>0</v>
      </c>
      <c r="E159" s="764">
        <f t="shared" si="5"/>
        <v>0</v>
      </c>
      <c r="F159" s="701">
        <f t="shared" si="0"/>
        <v>0</v>
      </c>
      <c r="G159" s="758">
        <f t="shared" si="2"/>
        <v>0</v>
      </c>
      <c r="H159" s="765">
        <f t="shared" si="3"/>
        <v>0</v>
      </c>
      <c r="I159" s="761">
        <f t="shared" si="4"/>
        <v>0</v>
      </c>
      <c r="J159" s="761"/>
      <c r="K159" s="911"/>
      <c r="L159" s="767"/>
      <c r="M159" s="911"/>
      <c r="N159" s="767"/>
      <c r="O159" s="767"/>
      <c r="P159" s="702"/>
    </row>
    <row r="160" spans="2:16" ht="13.5" thickBot="1">
      <c r="B160" s="357"/>
      <c r="C160" s="769" t="str">
        <f>IF(D95="","-",+C159+1)</f>
        <v>-</v>
      </c>
      <c r="D160" s="770">
        <f t="shared" si="1"/>
        <v>0</v>
      </c>
      <c r="E160" s="771">
        <f t="shared" si="5"/>
        <v>0</v>
      </c>
      <c r="F160" s="770">
        <f t="shared" si="0"/>
        <v>0</v>
      </c>
      <c r="G160" s="772">
        <f t="shared" si="2"/>
        <v>0</v>
      </c>
      <c r="H160" s="772">
        <f t="shared" si="3"/>
        <v>0</v>
      </c>
      <c r="I160" s="773">
        <f t="shared" si="4"/>
        <v>0</v>
      </c>
      <c r="J160" s="761"/>
      <c r="K160" s="912"/>
      <c r="L160" s="775"/>
      <c r="M160" s="912"/>
      <c r="N160" s="775"/>
      <c r="O160" s="775"/>
      <c r="P160" s="702"/>
    </row>
    <row r="161" spans="2:16">
      <c r="B161" s="357"/>
      <c r="C161" s="701" t="s">
        <v>290</v>
      </c>
      <c r="D161" s="697"/>
      <c r="E161" s="697">
        <f>SUM(E101:E160)</f>
        <v>0</v>
      </c>
      <c r="F161" s="697"/>
      <c r="G161" s="697">
        <f>SUM(G101:G160)</f>
        <v>0</v>
      </c>
      <c r="H161" s="697">
        <f>SUM(H101:H160)</f>
        <v>0</v>
      </c>
      <c r="I161" s="697">
        <f>SUM(I101:I160)</f>
        <v>0</v>
      </c>
      <c r="J161" s="697"/>
      <c r="K161" s="697"/>
      <c r="L161" s="697"/>
      <c r="M161" s="697"/>
      <c r="N161" s="697"/>
      <c r="O161" s="570"/>
      <c r="P161" s="697"/>
    </row>
    <row r="162" spans="2:16">
      <c r="B162" s="357"/>
      <c r="D162" s="591"/>
      <c r="E162" s="570"/>
      <c r="F162" s="570"/>
      <c r="G162" s="570"/>
      <c r="H162" s="674"/>
      <c r="I162" s="674"/>
      <c r="J162" s="697"/>
      <c r="K162" s="674"/>
      <c r="L162" s="674"/>
      <c r="M162" s="674"/>
      <c r="N162" s="674"/>
      <c r="O162" s="570"/>
      <c r="P162" s="697"/>
    </row>
    <row r="163" spans="2:16">
      <c r="B163" s="357"/>
      <c r="C163" s="570" t="s">
        <v>604</v>
      </c>
      <c r="D163" s="591"/>
      <c r="E163" s="570"/>
      <c r="F163" s="570"/>
      <c r="G163" s="570"/>
      <c r="H163" s="674"/>
      <c r="I163" s="674"/>
      <c r="J163" s="697"/>
      <c r="K163" s="674"/>
      <c r="L163" s="674"/>
      <c r="M163" s="674"/>
      <c r="N163" s="674"/>
      <c r="O163" s="570"/>
      <c r="P163" s="697"/>
    </row>
    <row r="164" spans="2:16">
      <c r="B164" s="357"/>
      <c r="D164" s="591"/>
      <c r="E164" s="570"/>
      <c r="F164" s="570"/>
      <c r="G164" s="570"/>
      <c r="H164" s="674"/>
      <c r="I164" s="674"/>
      <c r="J164" s="697"/>
      <c r="K164" s="674"/>
      <c r="L164" s="674"/>
      <c r="M164" s="674"/>
      <c r="N164" s="674"/>
      <c r="O164" s="570"/>
      <c r="P164" s="697"/>
    </row>
    <row r="165" spans="2:16">
      <c r="B165" s="357"/>
      <c r="C165" s="604" t="s">
        <v>605</v>
      </c>
      <c r="D165" s="701"/>
      <c r="E165" s="701"/>
      <c r="F165" s="701"/>
      <c r="G165" s="697"/>
      <c r="H165" s="697"/>
      <c r="I165" s="702"/>
      <c r="J165" s="702"/>
      <c r="K165" s="702"/>
      <c r="L165" s="702"/>
      <c r="M165" s="702"/>
      <c r="N165" s="702"/>
      <c r="O165" s="570"/>
      <c r="P165" s="702"/>
    </row>
    <row r="166" spans="2:16">
      <c r="B166" s="357"/>
      <c r="C166" s="604" t="s">
        <v>478</v>
      </c>
      <c r="D166" s="701"/>
      <c r="E166" s="701"/>
      <c r="F166" s="701"/>
      <c r="G166" s="697"/>
      <c r="H166" s="697"/>
      <c r="I166" s="702"/>
      <c r="J166" s="702"/>
      <c r="K166" s="702"/>
      <c r="L166" s="702"/>
      <c r="M166" s="702"/>
      <c r="N166" s="702"/>
      <c r="O166" s="570"/>
      <c r="P166" s="702"/>
    </row>
    <row r="167" spans="2:16">
      <c r="B167" s="357"/>
      <c r="C167" s="604" t="s">
        <v>291</v>
      </c>
      <c r="D167" s="701"/>
      <c r="E167" s="701"/>
      <c r="F167" s="701"/>
      <c r="G167" s="697"/>
      <c r="H167" s="697"/>
      <c r="I167" s="702"/>
      <c r="J167" s="702"/>
      <c r="K167" s="702"/>
      <c r="L167" s="702"/>
      <c r="M167" s="702"/>
      <c r="N167" s="702"/>
      <c r="O167" s="570"/>
      <c r="P167" s="702"/>
    </row>
    <row r="168" spans="2:16">
      <c r="B168" s="357"/>
      <c r="C168" s="700"/>
      <c r="D168" s="701"/>
      <c r="E168" s="701"/>
      <c r="F168" s="701"/>
      <c r="G168" s="697"/>
      <c r="H168" s="697"/>
      <c r="I168" s="702"/>
      <c r="J168" s="702"/>
      <c r="K168" s="702"/>
      <c r="L168" s="702"/>
      <c r="M168" s="702"/>
      <c r="N168" s="702"/>
      <c r="O168" s="570"/>
      <c r="P168" s="702"/>
    </row>
    <row r="169" spans="2:16">
      <c r="B169" s="357"/>
      <c r="C169" s="1543" t="s">
        <v>462</v>
      </c>
      <c r="D169" s="1543"/>
      <c r="E169" s="1543"/>
      <c r="F169" s="1543"/>
      <c r="G169" s="1543"/>
      <c r="H169" s="1543"/>
      <c r="I169" s="1543"/>
      <c r="J169" s="1543"/>
      <c r="K169" s="1543"/>
      <c r="L169" s="1543"/>
      <c r="M169" s="1543"/>
      <c r="N169" s="1543"/>
      <c r="O169" s="1543"/>
    </row>
    <row r="170" spans="2:16">
      <c r="B170" s="357"/>
      <c r="C170" s="1543"/>
      <c r="D170" s="1543"/>
      <c r="E170" s="1543"/>
      <c r="F170" s="1543"/>
      <c r="G170" s="1543"/>
      <c r="H170" s="1543"/>
      <c r="I170" s="1543"/>
      <c r="J170" s="1543"/>
      <c r="K170" s="1543"/>
      <c r="L170" s="1543"/>
      <c r="M170" s="1543"/>
      <c r="N170" s="1543"/>
      <c r="O170" s="1543"/>
    </row>
    <row r="171" spans="2:16">
      <c r="B171" s="357"/>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6"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58" zoomScale="85" zoomScaleNormal="100" zoomScaleSheetLayoutView="85" workbookViewId="0">
      <selection activeCell="D263" sqref="D263"/>
    </sheetView>
  </sheetViews>
  <sheetFormatPr defaultColWidth="8.85546875" defaultRowHeight="12.75"/>
  <cols>
    <col min="1" max="1" width="4.5703125" style="357" customWidth="1"/>
    <col min="2" max="2" width="6.5703125" style="439" customWidth="1"/>
    <col min="3" max="3" width="32.42578125" style="357" customWidth="1"/>
    <col min="4" max="4" width="17.5703125" style="451" customWidth="1"/>
    <col min="5" max="8" width="17.5703125" style="357" customWidth="1"/>
    <col min="9" max="9" width="17.5703125" style="617" customWidth="1"/>
    <col min="10" max="10" width="17.5703125" style="357" bestFit="1" customWidth="1"/>
    <col min="11" max="11" width="2.140625" style="341" customWidth="1"/>
    <col min="12" max="12" width="17.5703125" style="570" customWidth="1"/>
    <col min="13" max="13" width="31.85546875" style="570" customWidth="1"/>
    <col min="14" max="15" width="17.5703125" style="570" customWidth="1"/>
    <col min="16" max="16" width="16.5703125" style="570" customWidth="1"/>
    <col min="17" max="17" width="2.140625" style="570" customWidth="1"/>
    <col min="18" max="16384" width="8.85546875" style="357"/>
  </cols>
  <sheetData>
    <row r="1" spans="1:17" ht="15.75">
      <c r="A1" s="943" t="s">
        <v>116</v>
      </c>
    </row>
    <row r="2" spans="1:17" ht="15.75">
      <c r="A2" s="943" t="s">
        <v>116</v>
      </c>
    </row>
    <row r="3" spans="1:17" ht="15">
      <c r="A3" s="1527" t="s">
        <v>389</v>
      </c>
      <c r="B3" s="1527"/>
      <c r="C3" s="1527"/>
      <c r="D3" s="1527"/>
      <c r="E3" s="1527"/>
      <c r="F3" s="1527"/>
      <c r="G3" s="1527"/>
      <c r="H3" s="1527"/>
      <c r="I3" s="1527"/>
      <c r="J3" s="1527"/>
      <c r="K3" s="1527"/>
      <c r="L3" s="1527"/>
      <c r="M3" s="1527"/>
      <c r="N3" s="1527"/>
      <c r="O3" s="1527"/>
      <c r="P3" s="1527"/>
      <c r="Q3" s="616"/>
    </row>
    <row r="4" spans="1:17" ht="15">
      <c r="A4" s="1528" t="str">
        <f>"Cost of Service Formula Rate Using "&amp;TCOS!L4&amp;" FF1 Balances"</f>
        <v>Cost of Service Formula Rate Using 2020 FF1 Balances</v>
      </c>
      <c r="B4" s="1528"/>
      <c r="C4" s="1528"/>
      <c r="D4" s="1528"/>
      <c r="E4" s="1528"/>
      <c r="F4" s="1528"/>
      <c r="G4" s="1528"/>
      <c r="H4" s="1528"/>
      <c r="I4" s="1528"/>
      <c r="J4" s="1528"/>
      <c r="K4" s="1528"/>
      <c r="L4" s="1528"/>
      <c r="M4" s="1528"/>
      <c r="N4" s="1528"/>
      <c r="O4" s="1528"/>
      <c r="P4" s="1528"/>
      <c r="Q4" s="616"/>
    </row>
    <row r="5" spans="1:17" ht="15">
      <c r="A5" s="1528" t="s">
        <v>471</v>
      </c>
      <c r="B5" s="1528"/>
      <c r="C5" s="1528"/>
      <c r="D5" s="1528"/>
      <c r="E5" s="1528"/>
      <c r="F5" s="1528"/>
      <c r="G5" s="1528"/>
      <c r="H5" s="1528"/>
      <c r="I5" s="1528"/>
      <c r="J5" s="1528"/>
      <c r="K5" s="1528"/>
      <c r="L5" s="1528"/>
      <c r="M5" s="1528"/>
      <c r="N5" s="1528"/>
      <c r="O5" s="1528"/>
      <c r="P5" s="1528"/>
      <c r="Q5" s="616"/>
    </row>
    <row r="6" spans="1:17" ht="15">
      <c r="A6" s="1529" t="str">
        <f>TCOS!F9</f>
        <v>KENTUCKY POWER COMPANY</v>
      </c>
      <c r="B6" s="1529"/>
      <c r="C6" s="1529"/>
      <c r="D6" s="1529"/>
      <c r="E6" s="1529"/>
      <c r="F6" s="1529"/>
      <c r="G6" s="1529"/>
      <c r="H6" s="1529"/>
      <c r="I6" s="1529"/>
      <c r="J6" s="1529"/>
      <c r="K6" s="1529"/>
      <c r="L6" s="1529"/>
      <c r="M6" s="1529"/>
      <c r="N6" s="1529"/>
      <c r="O6" s="1529"/>
      <c r="P6" s="1529"/>
      <c r="Q6" s="616"/>
    </row>
    <row r="7" spans="1:17">
      <c r="Q7" s="616"/>
    </row>
    <row r="8" spans="1:17" ht="20.25">
      <c r="A8" s="618"/>
      <c r="C8" s="439"/>
      <c r="O8" s="619" t="str">
        <f>"Page "&amp;Q8&amp;" of "</f>
        <v xml:space="preserve">Page 1 of </v>
      </c>
      <c r="P8" s="620">
        <f>COUNT(Q$8:Q$58122)</f>
        <v>2</v>
      </c>
      <c r="Q8" s="621">
        <v>1</v>
      </c>
    </row>
    <row r="9" spans="1:17" ht="18">
      <c r="C9" s="622"/>
      <c r="Q9" s="616"/>
    </row>
    <row r="10" spans="1:17">
      <c r="Q10" s="616"/>
    </row>
    <row r="11" spans="1:17" ht="18">
      <c r="B11" s="623" t="s">
        <v>173</v>
      </c>
      <c r="C11" s="1550" t="str">
        <f>"Calculate Return and Income Taxes with "&amp;F17&amp;" basis point ROE increase for Projects Qualified for Regional Billing."</f>
        <v>Calculate Return and Income Taxes with 0 basis point ROE increase for Projects Qualified for Regional Billing.</v>
      </c>
      <c r="D11" s="1551"/>
      <c r="E11" s="1551"/>
      <c r="F11" s="1551"/>
      <c r="G11" s="1551"/>
      <c r="H11" s="1551"/>
      <c r="I11" s="1551"/>
      <c r="Q11" s="616"/>
    </row>
    <row r="12" spans="1:17" ht="18.75" customHeight="1">
      <c r="C12" s="1551"/>
      <c r="D12" s="1551"/>
      <c r="E12" s="1551"/>
      <c r="F12" s="1551"/>
      <c r="G12" s="1551"/>
      <c r="H12" s="1551"/>
      <c r="I12" s="1551"/>
      <c r="Q12" s="616"/>
    </row>
    <row r="13" spans="1:17" ht="15.75" customHeight="1">
      <c r="C13" s="557"/>
      <c r="D13" s="557"/>
      <c r="E13" s="557"/>
      <c r="F13" s="557"/>
      <c r="G13" s="557"/>
      <c r="H13" s="557"/>
      <c r="I13" s="557"/>
      <c r="Q13" s="616"/>
    </row>
    <row r="14" spans="1:17" ht="15.75">
      <c r="C14" s="624" t="str">
        <f>"A.   Determine 'R' with hypothetical "&amp;F17&amp;" basis point increase in ROE for Identified Projects"</f>
        <v>A.   Determine 'R' with hypothetical 0 basis point increase in ROE for Identified Projects</v>
      </c>
      <c r="D14" s="406"/>
      <c r="Q14" s="616"/>
    </row>
    <row r="15" spans="1:17">
      <c r="C15" s="395"/>
      <c r="D15" s="406"/>
      <c r="Q15" s="616"/>
    </row>
    <row r="16" spans="1:17">
      <c r="C16" s="625" t="str">
        <f>"   ROE w/o incentives  (TCOS, ln "&amp;TCOS!B257&amp;")"</f>
        <v xml:space="preserve">   ROE w/o incentives  (TCOS, ln 156)</v>
      </c>
      <c r="D16" s="406"/>
      <c r="E16" s="626"/>
      <c r="F16" s="777">
        <f>TCOS!J257</f>
        <v>0.10349999999999999</v>
      </c>
      <c r="G16" s="777"/>
      <c r="H16" s="626"/>
      <c r="I16" s="628"/>
      <c r="J16" s="628"/>
      <c r="K16" s="629"/>
      <c r="L16" s="628"/>
      <c r="M16" s="628"/>
      <c r="N16" s="628"/>
      <c r="O16" s="628"/>
      <c r="P16" s="628"/>
      <c r="Q16" s="629"/>
    </row>
    <row r="17" spans="3:17" ht="13.5" thickBot="1">
      <c r="C17" s="647" t="s">
        <v>254</v>
      </c>
      <c r="D17" s="406"/>
      <c r="E17" s="626"/>
      <c r="F17" s="904">
        <v>0</v>
      </c>
      <c r="G17" s="626"/>
      <c r="H17" s="626"/>
      <c r="I17" s="628"/>
      <c r="J17" s="628"/>
      <c r="K17" s="629"/>
      <c r="L17" s="628"/>
      <c r="M17" s="628"/>
      <c r="N17" s="628"/>
      <c r="O17" s="628"/>
      <c r="P17" s="628"/>
      <c r="Q17" s="629"/>
    </row>
    <row r="18" spans="3:17">
      <c r="C18" s="647" t="str">
        <f>"   ROE with additional "&amp;F17&amp;" basis point incentive"</f>
        <v xml:space="preserve">   ROE with additional 0 basis point incentive</v>
      </c>
      <c r="D18" s="626"/>
      <c r="E18" s="626"/>
      <c r="F18" s="631">
        <f>IF((F16+(F17/10000)&gt;0.125),"ERROR",F16+(F17/10000))</f>
        <v>0.10349999999999999</v>
      </c>
      <c r="G18" s="632"/>
      <c r="H18" s="626"/>
      <c r="I18" s="628"/>
      <c r="J18" s="628"/>
      <c r="K18" s="629"/>
      <c r="L18" s="778" t="s">
        <v>456</v>
      </c>
      <c r="M18" s="779"/>
      <c r="N18" s="779"/>
      <c r="O18" s="779"/>
      <c r="P18" s="780"/>
      <c r="Q18" s="629"/>
    </row>
    <row r="19" spans="3:17">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6"/>
      <c r="F19" s="633"/>
      <c r="G19" s="633"/>
      <c r="H19" s="626"/>
      <c r="I19" s="628"/>
      <c r="J19" s="628"/>
      <c r="K19" s="629"/>
      <c r="L19" s="781"/>
      <c r="M19" s="629"/>
      <c r="N19" s="629" t="s">
        <v>256</v>
      </c>
      <c r="O19" s="629" t="s">
        <v>257</v>
      </c>
      <c r="P19" s="782" t="s">
        <v>258</v>
      </c>
      <c r="Q19" s="629"/>
    </row>
    <row r="20" spans="3:17">
      <c r="C20" s="629"/>
      <c r="D20" s="634" t="s">
        <v>148</v>
      </c>
      <c r="E20" s="634" t="s">
        <v>147</v>
      </c>
      <c r="F20" s="635" t="s">
        <v>255</v>
      </c>
      <c r="G20" s="635"/>
      <c r="H20" s="626"/>
      <c r="I20" s="628"/>
      <c r="J20" s="628"/>
      <c r="K20" s="629"/>
      <c r="L20" s="781" t="s">
        <v>454</v>
      </c>
      <c r="M20" s="783">
        <f>+TCOS!L4</f>
        <v>2020</v>
      </c>
      <c r="N20" s="616"/>
      <c r="O20" s="616"/>
      <c r="P20" s="784"/>
      <c r="Q20" s="629"/>
    </row>
    <row r="21" spans="3:17">
      <c r="C21" s="636" t="s">
        <v>259</v>
      </c>
      <c r="D21" s="785">
        <f>TCOS!H255</f>
        <v>0.54641127238591036</v>
      </c>
      <c r="E21" s="638">
        <f>TCOS!J255</f>
        <v>4.0082284156050953E-2</v>
      </c>
      <c r="F21" s="639">
        <f>E21*D21</f>
        <v>2.1901411885841417E-2</v>
      </c>
      <c r="G21" s="639"/>
      <c r="H21" s="626"/>
      <c r="I21" s="628"/>
      <c r="J21" s="640"/>
      <c r="K21" s="641"/>
      <c r="L21" s="786"/>
      <c r="M21" s="787" t="s">
        <v>455</v>
      </c>
      <c r="N21" s="913">
        <f>M90</f>
        <v>0</v>
      </c>
      <c r="O21" s="913">
        <f>N90</f>
        <v>0</v>
      </c>
      <c r="P21" s="788">
        <f>+O21-N21</f>
        <v>0</v>
      </c>
      <c r="Q21" s="641"/>
    </row>
    <row r="22" spans="3:17" ht="13.5" thickBot="1">
      <c r="C22" s="636" t="s">
        <v>260</v>
      </c>
      <c r="D22" s="785">
        <f>TCOS!H256</f>
        <v>0</v>
      </c>
      <c r="E22" s="638">
        <f>TCOS!J256</f>
        <v>0</v>
      </c>
      <c r="F22" s="639">
        <f>E22*D22</f>
        <v>0</v>
      </c>
      <c r="G22" s="639"/>
      <c r="H22" s="642"/>
      <c r="I22" s="642"/>
      <c r="J22" s="643"/>
      <c r="K22" s="644"/>
      <c r="L22" s="786"/>
      <c r="M22" s="787" t="s">
        <v>261</v>
      </c>
      <c r="N22" s="914">
        <f>M91</f>
        <v>0</v>
      </c>
      <c r="O22" s="914">
        <f>N91</f>
        <v>0</v>
      </c>
      <c r="P22" s="789">
        <f>+O22-N22</f>
        <v>0</v>
      </c>
      <c r="Q22" s="644"/>
    </row>
    <row r="23" spans="3:17">
      <c r="C23" s="645" t="s">
        <v>246</v>
      </c>
      <c r="D23" s="785">
        <f>TCOS!H257</f>
        <v>0.45358872761408964</v>
      </c>
      <c r="E23" s="638">
        <f>+F18</f>
        <v>0.10349999999999999</v>
      </c>
      <c r="F23" s="646">
        <f>E23*D23</f>
        <v>4.6946433308058276E-2</v>
      </c>
      <c r="G23" s="646"/>
      <c r="H23" s="642"/>
      <c r="I23" s="642"/>
      <c r="J23" s="643"/>
      <c r="K23" s="644"/>
      <c r="L23" s="786"/>
      <c r="M23" s="787" t="str">
        <f>"True-up of ARR For "&amp;TCOS!L4&amp;""</f>
        <v>True-up of ARR For 2020</v>
      </c>
      <c r="N23" s="701">
        <f>+N22-N21</f>
        <v>0</v>
      </c>
      <c r="O23" s="701">
        <f>+O22-O21</f>
        <v>0</v>
      </c>
      <c r="P23" s="790">
        <f>+P22-P21</f>
        <v>0</v>
      </c>
      <c r="Q23" s="644"/>
    </row>
    <row r="24" spans="3:17">
      <c r="C24" s="647"/>
      <c r="D24" s="357"/>
      <c r="E24" s="648" t="s">
        <v>262</v>
      </c>
      <c r="F24" s="639">
        <f>SUM(F21:F23)</f>
        <v>6.8847845193899693E-2</v>
      </c>
      <c r="G24" s="639"/>
      <c r="H24" s="642"/>
      <c r="I24" s="642"/>
      <c r="J24" s="643"/>
      <c r="K24" s="644"/>
      <c r="L24" s="786"/>
      <c r="M24" s="616"/>
      <c r="N24" s="616"/>
      <c r="O24" s="616"/>
      <c r="P24" s="784"/>
      <c r="Q24" s="644"/>
    </row>
    <row r="25" spans="3:17" ht="13.5" thickBot="1">
      <c r="C25" s="395"/>
      <c r="D25" s="653"/>
      <c r="E25" s="653"/>
      <c r="F25" s="642"/>
      <c r="G25" s="642"/>
      <c r="H25" s="642"/>
      <c r="I25" s="642"/>
      <c r="J25" s="642"/>
      <c r="K25" s="654"/>
      <c r="L25" s="791"/>
      <c r="M25" s="792"/>
      <c r="N25" s="793"/>
      <c r="O25" s="793"/>
      <c r="P25" s="789"/>
      <c r="Q25" s="654"/>
    </row>
    <row r="26" spans="3:17" ht="15.75">
      <c r="C26" s="624" t="str">
        <f>"B.   Determine Return using 'R' with hypothetical "&amp;F17&amp;" basis point ROE increase for Identified Projects."</f>
        <v>B.   Determine Return using 'R' with hypothetical 0 basis point ROE increase for Identified Projects.</v>
      </c>
      <c r="D26" s="653"/>
      <c r="E26" s="653"/>
      <c r="F26" s="658"/>
      <c r="G26" s="658"/>
      <c r="H26" s="642"/>
      <c r="I26" s="626"/>
      <c r="J26" s="642"/>
      <c r="K26" s="654"/>
      <c r="L26" s="642"/>
      <c r="M26" s="642"/>
      <c r="N26" s="642"/>
      <c r="O26" s="642"/>
      <c r="P26" s="642"/>
      <c r="Q26" s="654"/>
    </row>
    <row r="27" spans="3:17">
      <c r="C27" s="629"/>
      <c r="D27" s="653"/>
      <c r="E27" s="653"/>
      <c r="F27" s="654"/>
      <c r="G27" s="654"/>
      <c r="H27" s="654"/>
      <c r="I27" s="654"/>
      <c r="J27" s="654"/>
      <c r="K27" s="654"/>
      <c r="L27" s="654"/>
      <c r="M27" s="654"/>
      <c r="N27" s="654"/>
      <c r="O27" s="654"/>
      <c r="P27" s="654"/>
      <c r="Q27" s="654"/>
    </row>
    <row r="28" spans="3:17">
      <c r="C28" s="663" t="str">
        <f>"   Rate Base  (TCOS, ln "&amp;TCOS!B125&amp;")"</f>
        <v xml:space="preserve">   Rate Base  (TCOS, ln 68)</v>
      </c>
      <c r="D28" s="626"/>
      <c r="E28" s="664">
        <f>TCOS!L125</f>
        <v>352397231.37624419</v>
      </c>
      <c r="F28" s="794"/>
      <c r="G28" s="794"/>
      <c r="H28" s="654"/>
      <c r="I28" s="654"/>
      <c r="J28" s="654"/>
      <c r="K28" s="654"/>
      <c r="L28" s="654"/>
      <c r="M28" s="654"/>
      <c r="N28" s="654"/>
      <c r="O28" s="654"/>
      <c r="P28" s="794"/>
      <c r="Q28" s="654"/>
    </row>
    <row r="29" spans="3:17">
      <c r="C29" s="629" t="s">
        <v>476</v>
      </c>
      <c r="D29" s="666"/>
      <c r="E29" s="639">
        <f>F24</f>
        <v>6.8847845193899693E-2</v>
      </c>
      <c r="F29" s="654"/>
      <c r="G29" s="654"/>
      <c r="H29" s="654"/>
      <c r="I29" s="654"/>
      <c r="J29" s="654"/>
      <c r="K29" s="654"/>
      <c r="L29" s="654"/>
      <c r="M29" s="654"/>
      <c r="N29" s="654"/>
      <c r="O29" s="654"/>
      <c r="P29" s="654"/>
      <c r="Q29" s="654"/>
    </row>
    <row r="30" spans="3:17">
      <c r="C30" s="667" t="s">
        <v>264</v>
      </c>
      <c r="D30" s="667"/>
      <c r="E30" s="643">
        <f>E28*E29</f>
        <v>24261790.03255051</v>
      </c>
      <c r="F30" s="654"/>
      <c r="G30" s="654"/>
      <c r="H30" s="654"/>
      <c r="I30" s="654"/>
      <c r="J30" s="644"/>
      <c r="K30" s="644"/>
      <c r="L30" s="644"/>
      <c r="M30" s="644"/>
      <c r="N30" s="644"/>
      <c r="O30" s="644"/>
      <c r="P30" s="654"/>
      <c r="Q30" s="644"/>
    </row>
    <row r="31" spans="3:17">
      <c r="C31" s="668"/>
      <c r="D31" s="628"/>
      <c r="E31" s="628"/>
      <c r="F31" s="654"/>
      <c r="G31" s="654"/>
      <c r="H31" s="654"/>
      <c r="I31" s="654"/>
      <c r="J31" s="644"/>
      <c r="K31" s="644"/>
      <c r="L31" s="644"/>
      <c r="M31" s="644"/>
      <c r="N31" s="644"/>
      <c r="O31" s="644"/>
      <c r="P31" s="654"/>
      <c r="Q31" s="644"/>
    </row>
    <row r="32" spans="3:17" ht="15.75">
      <c r="C32" s="624" t="str">
        <f>"C.   Determine Income Taxes using Return with hypothetical "&amp;F17&amp;" basis point ROE increase for Identified Projects."</f>
        <v>C.   Determine Income Taxes using Return with hypothetical 0 basis point ROE increase for Identified Projects.</v>
      </c>
      <c r="D32" s="669"/>
      <c r="E32" s="669"/>
      <c r="F32" s="670"/>
      <c r="G32" s="670"/>
      <c r="H32" s="670"/>
      <c r="I32" s="670"/>
      <c r="J32" s="671"/>
      <c r="K32" s="671"/>
      <c r="L32" s="671"/>
      <c r="M32" s="671"/>
      <c r="N32" s="671"/>
      <c r="O32" s="671"/>
      <c r="P32" s="670"/>
      <c r="Q32" s="671"/>
    </row>
    <row r="33" spans="2:17">
      <c r="C33" s="647"/>
      <c r="D33" s="628"/>
      <c r="E33" s="628"/>
      <c r="F33" s="654"/>
      <c r="G33" s="654"/>
      <c r="H33" s="654"/>
      <c r="I33" s="654"/>
      <c r="J33" s="644"/>
      <c r="K33" s="644"/>
      <c r="L33" s="644"/>
      <c r="M33" s="644"/>
      <c r="N33" s="644"/>
      <c r="O33" s="644"/>
      <c r="P33" s="654"/>
      <c r="Q33" s="644"/>
    </row>
    <row r="34" spans="2:17">
      <c r="C34" s="629" t="s">
        <v>265</v>
      </c>
      <c r="D34" s="648"/>
      <c r="E34" s="672">
        <f>E30</f>
        <v>24261790.03255051</v>
      </c>
      <c r="F34" s="654"/>
      <c r="G34" s="654"/>
      <c r="H34" s="654"/>
      <c r="I34" s="654"/>
      <c r="J34" s="654"/>
      <c r="K34" s="654"/>
      <c r="L34" s="654"/>
      <c r="M34" s="654"/>
      <c r="N34" s="654"/>
      <c r="O34" s="654"/>
      <c r="P34" s="654"/>
      <c r="Q34" s="654"/>
    </row>
    <row r="35" spans="2:17">
      <c r="C35" s="663" t="str">
        <f>"   Effective Tax Rate  (TCOS, ln "&amp;TCOS!B190&amp;")"</f>
        <v xml:space="preserve">   Effective Tax Rate  (TCOS, ln 114)</v>
      </c>
      <c r="D35" s="591"/>
      <c r="E35" s="673">
        <f>TCOS!G190</f>
        <v>0.23733346763128169</v>
      </c>
      <c r="F35" s="570"/>
      <c r="G35" s="570"/>
      <c r="H35" s="570"/>
      <c r="I35" s="674"/>
      <c r="J35" s="570"/>
      <c r="K35" s="616"/>
      <c r="Q35" s="616"/>
    </row>
    <row r="36" spans="2:17">
      <c r="C36" s="668" t="s">
        <v>266</v>
      </c>
      <c r="D36" s="591"/>
      <c r="E36" s="675">
        <f>E34*E35</f>
        <v>5758134.7593672788</v>
      </c>
      <c r="F36" s="570"/>
      <c r="G36" s="570"/>
      <c r="H36" s="570"/>
      <c r="I36" s="674"/>
      <c r="J36" s="570"/>
      <c r="K36" s="616"/>
      <c r="Q36" s="616"/>
    </row>
    <row r="37" spans="2:17" ht="15">
      <c r="C37" s="647" t="s">
        <v>304</v>
      </c>
      <c r="D37" s="503"/>
      <c r="E37" s="676">
        <f>TCOS!L199</f>
        <v>-7.969876499721634</v>
      </c>
      <c r="F37" s="503"/>
      <c r="G37" s="503"/>
      <c r="H37" s="503"/>
      <c r="I37" s="503"/>
      <c r="J37" s="503"/>
      <c r="K37" s="503"/>
      <c r="L37" s="503"/>
      <c r="M37" s="503"/>
      <c r="N37" s="503"/>
      <c r="O37" s="503"/>
      <c r="P37" s="415"/>
      <c r="Q37" s="503"/>
    </row>
    <row r="38" spans="2:17" ht="15">
      <c r="C38" s="647" t="s">
        <v>534</v>
      </c>
      <c r="D38" s="503"/>
      <c r="E38" s="676">
        <f>TCOS!L200</f>
        <v>-1896446.5294347608</v>
      </c>
      <c r="F38" s="503"/>
      <c r="G38" s="503"/>
      <c r="H38" s="503"/>
      <c r="I38" s="503"/>
      <c r="J38" s="503"/>
      <c r="K38" s="503"/>
      <c r="L38" s="503"/>
      <c r="M38" s="503"/>
      <c r="N38" s="503"/>
      <c r="O38" s="503"/>
      <c r="P38" s="415"/>
      <c r="Q38" s="503"/>
    </row>
    <row r="39" spans="2:17" ht="15">
      <c r="C39" s="647" t="s">
        <v>535</v>
      </c>
      <c r="D39" s="503"/>
      <c r="E39" s="677">
        <f>TCOS!L201</f>
        <v>1043090.4544290317</v>
      </c>
      <c r="F39" s="503"/>
      <c r="G39" s="503"/>
      <c r="H39" s="503"/>
      <c r="I39" s="503"/>
      <c r="J39" s="503"/>
      <c r="K39" s="503"/>
      <c r="L39" s="503"/>
      <c r="M39" s="503"/>
      <c r="N39" s="503"/>
      <c r="O39" s="503"/>
      <c r="P39" s="415"/>
      <c r="Q39" s="503"/>
    </row>
    <row r="40" spans="2:17" ht="15">
      <c r="C40" s="668" t="s">
        <v>267</v>
      </c>
      <c r="D40" s="503"/>
      <c r="E40" s="676">
        <f>E36+E37+E38+E39</f>
        <v>4904770.7144850492</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75">
      <c r="B42" s="623" t="s">
        <v>174</v>
      </c>
      <c r="C42" s="622"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2"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2"/>
      <c r="D44" s="503"/>
      <c r="E44" s="503"/>
      <c r="F44" s="503"/>
      <c r="G44" s="503"/>
      <c r="H44" s="503"/>
      <c r="I44" s="503"/>
      <c r="J44" s="503"/>
      <c r="K44" s="503"/>
      <c r="L44" s="503"/>
      <c r="M44" s="503"/>
      <c r="N44" s="503"/>
      <c r="O44" s="503"/>
      <c r="P44" s="373"/>
      <c r="Q44" s="503"/>
    </row>
    <row r="45" spans="2:17" ht="15.75">
      <c r="C45" s="624" t="s">
        <v>467</v>
      </c>
      <c r="D45" s="503"/>
      <c r="E45" s="503"/>
      <c r="F45" s="502"/>
      <c r="G45" s="502"/>
      <c r="H45" s="503"/>
      <c r="I45" s="503"/>
      <c r="J45" s="503"/>
      <c r="K45" s="503"/>
      <c r="L45" s="503"/>
      <c r="M45" s="503"/>
      <c r="N45" s="503"/>
      <c r="O45" s="503"/>
      <c r="P45" s="373"/>
      <c r="Q45" s="503"/>
    </row>
    <row r="46" spans="2:17">
      <c r="B46" s="604"/>
      <c r="C46" s="625"/>
      <c r="D46" s="678"/>
      <c r="E46" s="678"/>
      <c r="F46" s="678"/>
      <c r="G46" s="678"/>
      <c r="H46" s="678"/>
      <c r="I46" s="678"/>
      <c r="J46" s="678"/>
      <c r="K46" s="678"/>
      <c r="L46" s="678"/>
      <c r="M46" s="678"/>
      <c r="N46" s="678"/>
      <c r="O46" s="678"/>
      <c r="P46" s="676"/>
      <c r="Q46" s="678"/>
    </row>
    <row r="47" spans="2:17" ht="12.75" customHeight="1">
      <c r="B47" s="604"/>
      <c r="C47" s="663" t="str">
        <f>"   Annual Revenue Requirement  (TCOS, ln "&amp;TCOS!B13&amp;")"</f>
        <v xml:space="preserve">   Annual Revenue Requirement  (TCOS, ln 1)</v>
      </c>
      <c r="D47" s="678"/>
      <c r="E47" s="678"/>
      <c r="F47" s="676">
        <f>TCOS!L13</f>
        <v>65104305.422606125</v>
      </c>
      <c r="G47" s="676"/>
      <c r="H47" s="795" t="s">
        <v>116</v>
      </c>
      <c r="I47" s="678"/>
      <c r="J47" s="678"/>
      <c r="K47" s="678"/>
      <c r="L47" s="678"/>
      <c r="M47" s="678"/>
      <c r="N47" s="678"/>
      <c r="O47" s="678"/>
      <c r="P47" s="676"/>
      <c r="Q47" s="678"/>
    </row>
    <row r="48" spans="2:17" ht="12.75" customHeight="1">
      <c r="B48" s="604"/>
      <c r="C48" s="663" t="str">
        <f>"   Lease Payments (TCOS, Ln "&amp;TCOS!B168&amp;")"</f>
        <v xml:space="preserve">   Lease Payments (TCOS, Ln 95)</v>
      </c>
      <c r="D48" s="678"/>
      <c r="E48" s="678"/>
      <c r="F48" s="676">
        <f>TCOS!L168</f>
        <v>0</v>
      </c>
      <c r="G48" s="676"/>
      <c r="H48" s="795"/>
      <c r="I48" s="678"/>
      <c r="J48" s="678"/>
      <c r="K48" s="678"/>
      <c r="L48" s="678"/>
      <c r="M48" s="678"/>
      <c r="N48" s="678"/>
      <c r="O48" s="678"/>
      <c r="P48" s="676"/>
      <c r="Q48" s="678"/>
    </row>
    <row r="49" spans="2:17">
      <c r="B49" s="604"/>
      <c r="C49" s="663" t="str">
        <f>"   Return  (TCOS, ln "&amp;TCOS!B205&amp;")"</f>
        <v xml:space="preserve">   Return  (TCOS, ln 126)</v>
      </c>
      <c r="D49" s="678"/>
      <c r="E49" s="678"/>
      <c r="F49" s="679">
        <f>TCOS!L205</f>
        <v>24261790.03255051</v>
      </c>
      <c r="G49" s="679"/>
      <c r="H49" s="680"/>
      <c r="I49" s="680"/>
      <c r="J49" s="680"/>
      <c r="K49" s="680"/>
      <c r="L49" s="680"/>
      <c r="M49" s="680"/>
      <c r="N49" s="680"/>
      <c r="O49" s="680"/>
      <c r="P49" s="676"/>
      <c r="Q49" s="680"/>
    </row>
    <row r="50" spans="2:17">
      <c r="B50" s="604"/>
      <c r="C50" s="663" t="str">
        <f>"   Income Taxes  (TCOS, ln "&amp;TCOS!B203&amp;")"</f>
        <v xml:space="preserve">   Income Taxes  (TCOS, ln 125)</v>
      </c>
      <c r="D50" s="678"/>
      <c r="E50" s="678"/>
      <c r="F50" s="681">
        <f>TCOS!L203</f>
        <v>4904770.7144850492</v>
      </c>
      <c r="G50" s="681"/>
      <c r="H50" s="678"/>
      <c r="I50" s="678"/>
      <c r="J50" s="682"/>
      <c r="K50" s="682"/>
      <c r="L50" s="682"/>
      <c r="M50" s="682"/>
      <c r="N50" s="682"/>
      <c r="O50" s="682"/>
      <c r="P50" s="678"/>
      <c r="Q50" s="682"/>
    </row>
    <row r="51" spans="2:17">
      <c r="B51" s="604"/>
      <c r="C51" s="1552" t="s">
        <v>592</v>
      </c>
      <c r="D51" s="1551"/>
      <c r="E51" s="678"/>
      <c r="F51" s="679">
        <f>F47-F49-F50-F48</f>
        <v>35937744.675570562</v>
      </c>
      <c r="G51" s="679"/>
      <c r="H51" s="684"/>
      <c r="I51" s="678"/>
      <c r="J51" s="684"/>
      <c r="K51" s="684"/>
      <c r="L51" s="684"/>
      <c r="M51" s="684"/>
      <c r="N51" s="684"/>
      <c r="O51" s="684"/>
      <c r="P51" s="684"/>
      <c r="Q51" s="684"/>
    </row>
    <row r="52" spans="2:17">
      <c r="B52" s="604"/>
      <c r="C52" s="1551"/>
      <c r="D52" s="1551"/>
      <c r="E52" s="678"/>
      <c r="F52" s="676"/>
      <c r="G52" s="676"/>
      <c r="H52" s="685"/>
      <c r="I52" s="686"/>
      <c r="J52" s="686"/>
      <c r="K52" s="686"/>
      <c r="L52" s="686"/>
      <c r="M52" s="686"/>
      <c r="N52" s="686"/>
      <c r="O52" s="686"/>
      <c r="P52" s="686"/>
      <c r="Q52" s="686"/>
    </row>
    <row r="53" spans="2:17" ht="15.75">
      <c r="B53" s="604"/>
      <c r="C53" s="624" t="str">
        <f>"B.   Determine Annual Revenue Requirement with hypothetical "&amp;F17&amp;" basis point increase in ROE."</f>
        <v>B.   Determine Annual Revenue Requirement with hypothetical 0 basis point increase in ROE.</v>
      </c>
      <c r="D53" s="687"/>
      <c r="E53" s="687"/>
      <c r="F53" s="676"/>
      <c r="G53" s="676"/>
      <c r="H53" s="685"/>
      <c r="I53" s="686"/>
      <c r="J53" s="686"/>
      <c r="K53" s="686"/>
      <c r="L53" s="686"/>
      <c r="M53" s="686"/>
      <c r="N53" s="686"/>
      <c r="O53" s="686"/>
      <c r="P53" s="686"/>
      <c r="Q53" s="686"/>
    </row>
    <row r="54" spans="2:17">
      <c r="B54" s="604"/>
      <c r="C54" s="625"/>
      <c r="D54" s="687"/>
      <c r="E54" s="687"/>
      <c r="F54" s="676"/>
      <c r="G54" s="676"/>
      <c r="H54" s="685"/>
      <c r="I54" s="686"/>
      <c r="J54" s="686"/>
      <c r="K54" s="686"/>
      <c r="L54" s="686"/>
      <c r="M54" s="686"/>
      <c r="N54" s="686"/>
      <c r="O54" s="686"/>
      <c r="P54" s="686"/>
      <c r="Q54" s="686"/>
    </row>
    <row r="55" spans="2:17">
      <c r="B55" s="604"/>
      <c r="C55" s="625" t="str">
        <f>C51</f>
        <v xml:space="preserve">   Annual Revenue Requirement, Less Lease Payments, Return and Taxes</v>
      </c>
      <c r="D55" s="687"/>
      <c r="E55" s="687"/>
      <c r="F55" s="676">
        <f>F51</f>
        <v>35937744.675570562</v>
      </c>
      <c r="G55" s="676"/>
      <c r="H55" s="678"/>
      <c r="I55" s="678"/>
      <c r="J55" s="678"/>
      <c r="K55" s="678"/>
      <c r="L55" s="678"/>
      <c r="M55" s="678"/>
      <c r="N55" s="678"/>
      <c r="O55" s="678"/>
      <c r="P55" s="688"/>
      <c r="Q55" s="678"/>
    </row>
    <row r="56" spans="2:17">
      <c r="B56" s="604"/>
      <c r="C56" s="629" t="s">
        <v>301</v>
      </c>
      <c r="D56" s="689"/>
      <c r="E56" s="683"/>
      <c r="F56" s="690">
        <f>E30</f>
        <v>24261790.03255051</v>
      </c>
      <c r="G56" s="690"/>
      <c r="H56" s="683"/>
      <c r="I56" s="691"/>
      <c r="J56" s="683"/>
      <c r="K56" s="683"/>
      <c r="L56" s="683"/>
      <c r="M56" s="683"/>
      <c r="N56" s="683"/>
      <c r="O56" s="683"/>
      <c r="P56" s="683"/>
      <c r="Q56" s="683"/>
    </row>
    <row r="57" spans="2:17" ht="12.75" customHeight="1">
      <c r="B57" s="604"/>
      <c r="C57" s="647" t="s">
        <v>268</v>
      </c>
      <c r="D57" s="678"/>
      <c r="E57" s="678"/>
      <c r="F57" s="681">
        <f>E40</f>
        <v>4904770.7144850492</v>
      </c>
      <c r="G57" s="681"/>
      <c r="H57" s="570"/>
      <c r="I57" s="674"/>
      <c r="J57" s="570"/>
      <c r="K57" s="616"/>
      <c r="Q57" s="616"/>
    </row>
    <row r="58" spans="2:17">
      <c r="B58" s="604"/>
      <c r="C58" s="683" t="str">
        <f>"   Annual Revenue Requirement, with "&amp;F17&amp;" Basis Point ROE increase"</f>
        <v xml:space="preserve">   Annual Revenue Requirement, with 0 Basis Point ROE increase</v>
      </c>
      <c r="D58" s="591"/>
      <c r="E58" s="570"/>
      <c r="F58" s="675">
        <f>SUM(F55:F57)</f>
        <v>65104305.422606125</v>
      </c>
      <c r="G58" s="675"/>
      <c r="H58" s="570"/>
      <c r="I58" s="674"/>
      <c r="J58" s="570"/>
      <c r="K58" s="616"/>
      <c r="Q58" s="616"/>
    </row>
    <row r="59" spans="2:17">
      <c r="B59" s="604"/>
      <c r="C59" s="663" t="str">
        <f>"   Depreciation  (TCOS, ln "&amp;TCOS!B174&amp;")"</f>
        <v xml:space="preserve">   Depreciation  (TCOS, ln 100)</v>
      </c>
      <c r="D59" s="591"/>
      <c r="E59" s="570"/>
      <c r="F59" s="692">
        <f>TCOS!L174</f>
        <v>17643723.657234021</v>
      </c>
      <c r="G59" s="692"/>
      <c r="H59" s="675"/>
      <c r="I59" s="674"/>
      <c r="J59" s="570"/>
      <c r="K59" s="616"/>
      <c r="Q59" s="616"/>
    </row>
    <row r="60" spans="2:17">
      <c r="B60" s="604"/>
      <c r="C60" s="1552" t="str">
        <f>"   Annual Rev. Req, w/ "&amp;F17&amp;" Basis Point ROE increase, less Depreciation"</f>
        <v xml:space="preserve">   Annual Rev. Req, w/ 0 Basis Point ROE increase, less Depreciation</v>
      </c>
      <c r="D60" s="1551"/>
      <c r="E60" s="570"/>
      <c r="F60" s="675">
        <f>F58-F59</f>
        <v>47460581.765372105</v>
      </c>
      <c r="G60" s="675"/>
      <c r="H60" s="570"/>
      <c r="I60" s="674"/>
      <c r="J60" s="570"/>
      <c r="K60" s="616"/>
      <c r="Q60" s="616"/>
    </row>
    <row r="61" spans="2:17">
      <c r="B61" s="604"/>
      <c r="C61" s="1551"/>
      <c r="D61" s="1551"/>
      <c r="E61" s="570"/>
      <c r="F61" s="570"/>
      <c r="G61" s="570"/>
      <c r="H61" s="570"/>
      <c r="I61" s="674"/>
      <c r="J61" s="570"/>
      <c r="K61" s="616"/>
      <c r="Q61" s="616"/>
    </row>
    <row r="62" spans="2:17" ht="15.75">
      <c r="B62" s="604"/>
      <c r="C62" s="624" t="str">
        <f>"C.   Determine FCR with hypothetical "&amp;F17&amp;" basis point ROE increase."</f>
        <v>C.   Determine FCR with hypothetical 0 basis point ROE increase.</v>
      </c>
      <c r="D62" s="591"/>
      <c r="E62" s="570"/>
      <c r="F62" s="570"/>
      <c r="G62" s="570"/>
      <c r="H62" s="570"/>
      <c r="I62" s="674"/>
      <c r="J62" s="570"/>
      <c r="K62" s="616"/>
      <c r="Q62" s="616"/>
    </row>
    <row r="63" spans="2:17">
      <c r="B63" s="604"/>
      <c r="C63" s="570"/>
      <c r="D63" s="591"/>
      <c r="E63" s="570"/>
      <c r="F63" s="570"/>
      <c r="G63" s="570"/>
      <c r="H63" s="570"/>
      <c r="I63" s="674"/>
      <c r="J63" s="570"/>
      <c r="K63" s="616"/>
      <c r="Q63" s="616"/>
    </row>
    <row r="64" spans="2:17">
      <c r="B64" s="604"/>
      <c r="C64" s="663" t="str">
        <f>"   Net Transmission Plant  (TCOS, ln "&amp;TCOS!B91&amp;")"</f>
        <v xml:space="preserve">   Net Transmission Plant  (TCOS, ln 42)</v>
      </c>
      <c r="D64" s="591"/>
      <c r="E64" s="570"/>
      <c r="F64" s="675">
        <f>TCOS!L91</f>
        <v>427372137.9607693</v>
      </c>
      <c r="G64" s="675"/>
      <c r="H64" s="675"/>
      <c r="I64" s="693"/>
      <c r="J64" s="570"/>
      <c r="K64" s="616"/>
      <c r="Q64" s="616"/>
    </row>
    <row r="65" spans="2:17">
      <c r="B65" s="604"/>
      <c r="C65" s="683" t="str">
        <f>"   Annual Revenue Requirement, with "&amp;F17&amp;" Basis Point ROE increase"</f>
        <v xml:space="preserve">   Annual Revenue Requirement, with 0 Basis Point ROE increase</v>
      </c>
      <c r="D65" s="591"/>
      <c r="E65" s="570"/>
      <c r="F65" s="675">
        <f>F58</f>
        <v>65104305.422606125</v>
      </c>
      <c r="G65" s="675"/>
      <c r="H65" s="570"/>
      <c r="I65" s="674"/>
      <c r="J65" s="570"/>
      <c r="K65" s="616"/>
      <c r="Q65" s="616"/>
    </row>
    <row r="66" spans="2:17">
      <c r="B66" s="604"/>
      <c r="C66" s="683" t="str">
        <f>"   FCR with "&amp;F17&amp;" Basis Point increase in ROE"</f>
        <v xml:space="preserve">   FCR with 0 Basis Point increase in ROE</v>
      </c>
      <c r="D66" s="591"/>
      <c r="E66" s="570"/>
      <c r="F66" s="673">
        <f>F65/F64</f>
        <v>0.15233633557221363</v>
      </c>
      <c r="G66" s="673"/>
      <c r="H66" s="673"/>
      <c r="I66" s="674"/>
      <c r="J66" s="570"/>
      <c r="K66" s="616"/>
      <c r="Q66" s="616"/>
    </row>
    <row r="67" spans="2:17">
      <c r="B67" s="604"/>
      <c r="C67" s="395"/>
      <c r="D67" s="591"/>
      <c r="E67" s="570"/>
      <c r="F67" s="604"/>
      <c r="G67" s="604"/>
      <c r="H67" s="570"/>
      <c r="I67" s="674"/>
      <c r="J67" s="570"/>
      <c r="K67" s="616"/>
      <c r="Q67" s="616"/>
    </row>
    <row r="68" spans="2:17">
      <c r="B68" s="604"/>
      <c r="C68" s="683" t="str">
        <f>"   Annual Rev. Req, w / "&amp;F17&amp;" Basis Point ROE increase, less Dep."</f>
        <v xml:space="preserve">   Annual Rev. Req, w / 0 Basis Point ROE increase, less Dep.</v>
      </c>
      <c r="D68" s="591"/>
      <c r="E68" s="570"/>
      <c r="F68" s="675">
        <f>F60</f>
        <v>47460581.765372105</v>
      </c>
      <c r="G68" s="675"/>
      <c r="H68" s="570"/>
      <c r="I68" s="674"/>
      <c r="J68" s="570"/>
      <c r="K68" s="616"/>
      <c r="Q68" s="616"/>
    </row>
    <row r="69" spans="2:17">
      <c r="B69" s="604"/>
      <c r="C69" s="683" t="str">
        <f>"   FCR with "&amp;F17&amp;" Basis Point ROE increase, less Depreciation"</f>
        <v xml:space="preserve">   FCR with 0 Basis Point ROE increase, less Depreciation</v>
      </c>
      <c r="D69" s="591"/>
      <c r="E69" s="570"/>
      <c r="F69" s="673">
        <f>F68/F64</f>
        <v>0.11105211956921898</v>
      </c>
      <c r="G69" s="673"/>
      <c r="H69" s="570"/>
      <c r="I69" s="674"/>
      <c r="J69" s="570"/>
      <c r="K69" s="616"/>
      <c r="Q69" s="616"/>
    </row>
    <row r="70" spans="2:17">
      <c r="B70" s="604"/>
      <c r="C70" s="663" t="str">
        <f>"   FCR less Depreciation  (TCOS, ln "&amp;TCOS!B34&amp;")"</f>
        <v xml:space="preserve">   FCR less Depreciation  (TCOS, ln 10)</v>
      </c>
      <c r="D70" s="591"/>
      <c r="E70" s="570"/>
      <c r="F70" s="694">
        <f>TCOS!L34</f>
        <v>0.11105211956921898</v>
      </c>
      <c r="G70" s="694"/>
      <c r="H70" s="570"/>
      <c r="I70" s="674"/>
      <c r="J70" s="570"/>
      <c r="K70" s="616"/>
      <c r="Q70" s="616"/>
    </row>
    <row r="71" spans="2:17">
      <c r="B71" s="604"/>
      <c r="C71" s="1552" t="str">
        <f>"   Incremental FCR with "&amp;F17&amp;" Basis Point ROE increase, less Depreciation"</f>
        <v xml:space="preserve">   Incremental FCR with 0 Basis Point ROE increase, less Depreciation</v>
      </c>
      <c r="D71" s="1551"/>
      <c r="E71" s="570"/>
      <c r="F71" s="673">
        <f>F69-F70</f>
        <v>0</v>
      </c>
      <c r="G71" s="673"/>
      <c r="H71" s="570"/>
      <c r="I71" s="674"/>
      <c r="J71" s="570"/>
      <c r="K71" s="616"/>
      <c r="Q71" s="616"/>
    </row>
    <row r="72" spans="2:17">
      <c r="B72" s="604"/>
      <c r="C72" s="1551"/>
      <c r="D72" s="1551"/>
      <c r="E72" s="570"/>
      <c r="F72" s="673"/>
      <c r="G72" s="673"/>
      <c r="H72" s="570"/>
      <c r="I72" s="674"/>
      <c r="J72" s="570"/>
      <c r="K72" s="616"/>
      <c r="Q72" s="616"/>
    </row>
    <row r="73" spans="2:17" ht="18.75">
      <c r="B73" s="623" t="s">
        <v>175</v>
      </c>
      <c r="C73" s="622" t="s">
        <v>269</v>
      </c>
      <c r="D73" s="591"/>
      <c r="E73" s="570"/>
      <c r="F73" s="673"/>
      <c r="G73" s="673"/>
      <c r="H73" s="570"/>
      <c r="I73" s="674"/>
      <c r="J73" s="570"/>
      <c r="K73" s="616"/>
      <c r="Q73" s="616"/>
    </row>
    <row r="74" spans="2:17">
      <c r="B74" s="604"/>
      <c r="C74" s="683"/>
      <c r="D74" s="591"/>
      <c r="E74" s="570"/>
      <c r="F74" s="673"/>
      <c r="G74" s="673"/>
      <c r="H74" s="570"/>
      <c r="I74" s="674"/>
      <c r="J74" s="570"/>
      <c r="K74" s="616"/>
      <c r="Q74" s="616"/>
    </row>
    <row r="75" spans="2:17">
      <c r="B75" s="604"/>
      <c r="C75" s="683" t="str">
        <f>+"Average Transmission Plant Balance for "&amp;TCOS!L4&amp;" (TCOS, ln "&amp;TCOS!B68&amp;")"</f>
        <v>Average Transmission Plant Balance for 2020 (TCOS, ln 21)</v>
      </c>
      <c r="D75" s="591"/>
      <c r="H75" s="674">
        <f>TCOS!L68</f>
        <v>653424683.64230776</v>
      </c>
      <c r="J75" s="570"/>
      <c r="K75" s="616"/>
      <c r="Q75" s="616"/>
    </row>
    <row r="76" spans="2:17">
      <c r="B76" s="604"/>
      <c r="C76" s="695" t="str">
        <f>"Annual Depreciation and Amortization Expense (TCOS, ln "&amp;TCOS!B174&amp;")"</f>
        <v>Annual Depreciation and Amortization Expense (TCOS, ln 100)</v>
      </c>
      <c r="D76" s="591"/>
      <c r="E76" s="570"/>
      <c r="H76" s="696">
        <f>TCOS!L174</f>
        <v>17643723.657234021</v>
      </c>
      <c r="I76" s="674"/>
      <c r="J76" s="570"/>
      <c r="K76" s="616"/>
      <c r="Q76" s="616"/>
    </row>
    <row r="77" spans="2:17">
      <c r="B77" s="604"/>
      <c r="C77" s="683" t="s">
        <v>270</v>
      </c>
      <c r="D77" s="591"/>
      <c r="E77" s="570"/>
      <c r="H77" s="673">
        <f>+H76/H75</f>
        <v>2.7001924014998489E-2</v>
      </c>
      <c r="I77" s="698"/>
      <c r="J77" s="570"/>
      <c r="K77" s="616"/>
      <c r="Q77" s="616"/>
    </row>
    <row r="78" spans="2:17">
      <c r="B78" s="604"/>
      <c r="C78" s="683" t="s">
        <v>271</v>
      </c>
      <c r="D78" s="591"/>
      <c r="E78" s="570"/>
      <c r="H78" s="698">
        <f>1/H77</f>
        <v>37.034397972697796</v>
      </c>
      <c r="I78" s="674"/>
      <c r="J78" s="570"/>
      <c r="K78" s="616"/>
      <c r="Q78" s="616"/>
    </row>
    <row r="79" spans="2:17">
      <c r="B79" s="604"/>
      <c r="C79" s="683" t="s">
        <v>272</v>
      </c>
      <c r="D79" s="591"/>
      <c r="E79" s="570"/>
      <c r="H79" s="699">
        <f>ROUND(H78,0)</f>
        <v>37</v>
      </c>
      <c r="I79" s="674"/>
      <c r="J79" s="570"/>
      <c r="K79" s="616"/>
      <c r="Q79" s="616"/>
    </row>
    <row r="80" spans="2:17">
      <c r="B80" s="604"/>
      <c r="C80" s="683"/>
      <c r="D80" s="591"/>
      <c r="E80" s="570"/>
      <c r="H80" s="699"/>
      <c r="I80" s="674"/>
      <c r="J80" s="570"/>
      <c r="K80" s="616"/>
      <c r="Q80" s="616"/>
    </row>
    <row r="81" spans="1:17">
      <c r="C81" s="700"/>
      <c r="D81" s="701"/>
      <c r="E81" s="701"/>
      <c r="F81" s="701"/>
      <c r="G81" s="701"/>
      <c r="H81" s="697"/>
      <c r="I81" s="697"/>
      <c r="J81" s="702"/>
      <c r="K81" s="702"/>
      <c r="L81" s="702"/>
      <c r="M81" s="702"/>
      <c r="N81" s="702"/>
      <c r="O81" s="702"/>
      <c r="Q81" s="702"/>
    </row>
    <row r="82" spans="1:17">
      <c r="B82" s="357"/>
      <c r="C82" s="700"/>
      <c r="D82" s="701"/>
      <c r="E82" s="701"/>
      <c r="F82" s="701"/>
      <c r="G82" s="701"/>
      <c r="H82" s="697"/>
      <c r="I82" s="697"/>
      <c r="J82" s="702"/>
      <c r="K82" s="702"/>
      <c r="L82" s="702"/>
      <c r="M82" s="702"/>
      <c r="N82" s="702"/>
      <c r="O82" s="702"/>
      <c r="Q82" s="702"/>
    </row>
    <row r="83" spans="1:17" ht="20.25">
      <c r="A83" s="703" t="s">
        <v>775</v>
      </c>
      <c r="B83" s="570"/>
      <c r="C83" s="683"/>
      <c r="D83" s="591"/>
      <c r="E83" s="570"/>
      <c r="F83" s="673"/>
      <c r="G83" s="673"/>
      <c r="H83" s="570"/>
      <c r="I83" s="674"/>
      <c r="L83" s="704"/>
      <c r="M83" s="704"/>
      <c r="N83" s="704"/>
      <c r="O83" s="619" t="str">
        <f>"Page "&amp;SUM(Q$3:Q83)&amp;" of "</f>
        <v xml:space="preserve">Page 2 of </v>
      </c>
      <c r="P83" s="620">
        <f>COUNT(Q$8:Q$58122)</f>
        <v>2</v>
      </c>
      <c r="Q83" s="796">
        <v>1</v>
      </c>
    </row>
    <row r="84" spans="1:17">
      <c r="B84" s="570"/>
      <c r="C84" s="570"/>
      <c r="D84" s="591"/>
      <c r="E84" s="570"/>
      <c r="F84" s="570"/>
      <c r="G84" s="570"/>
      <c r="H84" s="570"/>
      <c r="I84" s="674"/>
      <c r="J84" s="570"/>
      <c r="K84" s="616"/>
      <c r="Q84" s="616"/>
    </row>
    <row r="85" spans="1:17" ht="18">
      <c r="B85" s="623" t="s">
        <v>176</v>
      </c>
      <c r="C85" s="705" t="s">
        <v>292</v>
      </c>
      <c r="D85" s="591"/>
      <c r="E85" s="570"/>
      <c r="F85" s="570"/>
      <c r="G85" s="570"/>
      <c r="H85" s="570"/>
      <c r="I85" s="674"/>
      <c r="J85" s="674"/>
      <c r="K85" s="697"/>
      <c r="L85" s="674"/>
      <c r="M85" s="674"/>
      <c r="N85" s="674"/>
      <c r="O85" s="674"/>
      <c r="Q85" s="697"/>
    </row>
    <row r="86" spans="1:17" ht="18.75">
      <c r="B86" s="623"/>
      <c r="C86" s="622"/>
      <c r="D86" s="591"/>
      <c r="E86" s="570"/>
      <c r="F86" s="570"/>
      <c r="G86" s="570"/>
      <c r="H86" s="570"/>
      <c r="I86" s="674"/>
      <c r="J86" s="674"/>
      <c r="K86" s="697"/>
      <c r="L86" s="674"/>
      <c r="M86" s="674"/>
      <c r="N86" s="674"/>
      <c r="O86" s="674"/>
      <c r="Q86" s="697"/>
    </row>
    <row r="87" spans="1:17" ht="18.75">
      <c r="B87" s="623"/>
      <c r="C87" s="622" t="s">
        <v>293</v>
      </c>
      <c r="D87" s="591"/>
      <c r="E87" s="570"/>
      <c r="F87" s="570"/>
      <c r="G87" s="570"/>
      <c r="H87" s="570"/>
      <c r="I87" s="674"/>
      <c r="J87" s="674"/>
      <c r="K87" s="697"/>
      <c r="L87" s="674"/>
      <c r="M87" s="674"/>
      <c r="N87" s="674"/>
      <c r="O87" s="674"/>
      <c r="Q87" s="697"/>
    </row>
    <row r="88" spans="1:17" ht="15.75" thickBot="1">
      <c r="B88" s="357"/>
      <c r="C88" s="423"/>
      <c r="D88" s="591"/>
      <c r="E88" s="570"/>
      <c r="F88" s="570"/>
      <c r="G88" s="570"/>
      <c r="H88" s="570"/>
      <c r="I88" s="674"/>
      <c r="J88" s="674"/>
      <c r="K88" s="697"/>
      <c r="L88" s="674"/>
      <c r="M88" s="674"/>
      <c r="N88" s="674"/>
      <c r="O88" s="674"/>
      <c r="Q88" s="697"/>
    </row>
    <row r="89" spans="1:17" ht="15.75">
      <c r="B89" s="357"/>
      <c r="C89" s="624" t="s">
        <v>294</v>
      </c>
      <c r="D89" s="591"/>
      <c r="E89" s="570"/>
      <c r="F89" s="570"/>
      <c r="G89" s="570"/>
      <c r="H89" s="906"/>
      <c r="I89" s="570" t="s">
        <v>273</v>
      </c>
      <c r="J89" s="570"/>
      <c r="K89" s="616"/>
      <c r="L89" s="797">
        <f>+J95</f>
        <v>2019</v>
      </c>
      <c r="M89" s="779" t="s">
        <v>256</v>
      </c>
      <c r="N89" s="779" t="s">
        <v>257</v>
      </c>
      <c r="O89" s="780" t="s">
        <v>258</v>
      </c>
      <c r="Q89" s="616"/>
    </row>
    <row r="90" spans="1:17" ht="15.75">
      <c r="B90" s="357"/>
      <c r="C90" s="624"/>
      <c r="D90" s="591"/>
      <c r="E90" s="570"/>
      <c r="F90" s="570"/>
      <c r="H90" s="570"/>
      <c r="I90" s="710"/>
      <c r="J90" s="710"/>
      <c r="K90" s="711"/>
      <c r="L90" s="798" t="s">
        <v>457</v>
      </c>
      <c r="M90" s="799">
        <f>VLOOKUP(J95,C102:P161,10)</f>
        <v>0</v>
      </c>
      <c r="N90" s="799">
        <f>VLOOKUP(J95,C102:P161,12)</f>
        <v>0</v>
      </c>
      <c r="O90" s="800">
        <f>+N90-M90</f>
        <v>0</v>
      </c>
      <c r="Q90" s="711"/>
    </row>
    <row r="91" spans="1:17">
      <c r="B91" s="357"/>
      <c r="C91" s="715" t="s">
        <v>295</v>
      </c>
      <c r="D91" s="915"/>
      <c r="E91" s="915"/>
      <c r="F91" s="915"/>
      <c r="G91" s="915"/>
      <c r="H91" s="915"/>
      <c r="I91" s="674"/>
      <c r="J91" s="674"/>
      <c r="K91" s="697"/>
      <c r="L91" s="798" t="s">
        <v>458</v>
      </c>
      <c r="M91" s="801">
        <f>VLOOKUP(J95,C102:P161,6)</f>
        <v>0</v>
      </c>
      <c r="N91" s="801">
        <f>VLOOKUP(J95,C102:P161,7)</f>
        <v>0</v>
      </c>
      <c r="O91" s="802">
        <f>+N91-M91</f>
        <v>0</v>
      </c>
      <c r="Q91" s="697"/>
    </row>
    <row r="92" spans="1:17" ht="13.5" thickBot="1">
      <c r="B92" s="357"/>
      <c r="C92" s="719"/>
      <c r="D92" s="720"/>
      <c r="E92" s="699"/>
      <c r="F92" s="699"/>
      <c r="G92" s="699"/>
      <c r="H92" s="721"/>
      <c r="I92" s="674"/>
      <c r="J92" s="674"/>
      <c r="K92" s="697"/>
      <c r="L92" s="740" t="s">
        <v>459</v>
      </c>
      <c r="M92" s="803">
        <f>+M91-M90</f>
        <v>0</v>
      </c>
      <c r="N92" s="803">
        <f>+N91-N90</f>
        <v>0</v>
      </c>
      <c r="O92" s="804">
        <f>+O91-O90</f>
        <v>0</v>
      </c>
      <c r="Q92" s="697"/>
    </row>
    <row r="93" spans="1:17" ht="13.5" thickBot="1">
      <c r="B93" s="357"/>
      <c r="C93" s="722"/>
      <c r="D93" s="723"/>
      <c r="E93" s="721"/>
      <c r="F93" s="721"/>
      <c r="G93" s="721"/>
      <c r="H93" s="721"/>
      <c r="I93" s="721"/>
      <c r="J93" s="721"/>
      <c r="K93" s="724"/>
      <c r="L93" s="721"/>
      <c r="M93" s="721"/>
      <c r="N93" s="721"/>
      <c r="O93" s="721"/>
      <c r="P93" s="604"/>
      <c r="Q93" s="724"/>
    </row>
    <row r="94" spans="1:17" ht="13.5" thickBot="1">
      <c r="B94" s="357"/>
      <c r="C94" s="726" t="s">
        <v>296</v>
      </c>
      <c r="D94" s="727"/>
      <c r="E94" s="727"/>
      <c r="F94" s="727"/>
      <c r="G94" s="727"/>
      <c r="H94" s="727"/>
      <c r="I94" s="727"/>
      <c r="J94" s="727"/>
      <c r="K94" s="729"/>
      <c r="P94" s="730"/>
      <c r="Q94" s="729"/>
    </row>
    <row r="95" spans="1:17" ht="15">
      <c r="A95" s="776"/>
      <c r="B95" s="357"/>
      <c r="C95" s="732" t="s">
        <v>274</v>
      </c>
      <c r="D95" s="907">
        <v>0</v>
      </c>
      <c r="E95" s="683" t="s">
        <v>275</v>
      </c>
      <c r="H95" s="733"/>
      <c r="I95" s="733"/>
      <c r="J95" s="734">
        <v>2019</v>
      </c>
      <c r="K95" s="614"/>
      <c r="L95" s="1542" t="s">
        <v>276</v>
      </c>
      <c r="M95" s="1542"/>
      <c r="N95" s="1542"/>
      <c r="O95" s="1542"/>
      <c r="P95" s="616"/>
      <c r="Q95" s="614"/>
    </row>
    <row r="96" spans="1:17">
      <c r="A96" s="776"/>
      <c r="B96" s="357"/>
      <c r="C96" s="732" t="s">
        <v>277</v>
      </c>
      <c r="D96" s="916">
        <v>0</v>
      </c>
      <c r="E96" s="732" t="s">
        <v>278</v>
      </c>
      <c r="F96" s="733"/>
      <c r="G96" s="733"/>
      <c r="I96" s="357"/>
      <c r="J96" s="910">
        <v>0</v>
      </c>
      <c r="K96" s="735"/>
      <c r="L96" s="697" t="s">
        <v>477</v>
      </c>
      <c r="P96" s="616"/>
      <c r="Q96" s="735"/>
    </row>
    <row r="97" spans="1:17">
      <c r="A97" s="776"/>
      <c r="B97" s="357"/>
      <c r="C97" s="732" t="s">
        <v>279</v>
      </c>
      <c r="D97" s="908">
        <v>0</v>
      </c>
      <c r="E97" s="732" t="s">
        <v>280</v>
      </c>
      <c r="F97" s="733"/>
      <c r="G97" s="733"/>
      <c r="I97" s="357"/>
      <c r="J97" s="736">
        <f>$F$70</f>
        <v>0.11105211956921898</v>
      </c>
      <c r="K97" s="737"/>
      <c r="L97" s="570" t="str">
        <f>"          INPUT TRUE-UP ARR (WITH &amp; WITHOUT INCENTIVES) FROM EACH PRIOR YEAR"</f>
        <v xml:space="preserve">          INPUT TRUE-UP ARR (WITH &amp; WITHOUT INCENTIVES) FROM EACH PRIOR YEAR</v>
      </c>
      <c r="P97" s="616"/>
      <c r="Q97" s="737"/>
    </row>
    <row r="98" spans="1:17">
      <c r="A98" s="776"/>
      <c r="B98" s="357"/>
      <c r="C98" s="732" t="s">
        <v>281</v>
      </c>
      <c r="D98" s="738">
        <f>H79</f>
        <v>37</v>
      </c>
      <c r="E98" s="732" t="s">
        <v>282</v>
      </c>
      <c r="F98" s="733"/>
      <c r="G98" s="733"/>
      <c r="I98" s="357"/>
      <c r="J98" s="736">
        <f>IF(H89="",J97,$F$69)</f>
        <v>0.11105211956921898</v>
      </c>
      <c r="K98" s="739"/>
      <c r="L98" s="570" t="s">
        <v>364</v>
      </c>
      <c r="M98" s="739"/>
      <c r="N98" s="739"/>
      <c r="O98" s="739"/>
      <c r="P98" s="616"/>
      <c r="Q98" s="739"/>
    </row>
    <row r="99" spans="1:17" ht="13.5" thickBot="1">
      <c r="A99" s="776"/>
      <c r="B99" s="357"/>
      <c r="C99" s="732" t="s">
        <v>283</v>
      </c>
      <c r="D99" s="909">
        <v>0</v>
      </c>
      <c r="E99" s="740" t="s">
        <v>284</v>
      </c>
      <c r="F99" s="741"/>
      <c r="G99" s="741"/>
      <c r="H99" s="742"/>
      <c r="I99" s="742"/>
      <c r="J99" s="718">
        <f>IF(D95=0,0,D95/D98)</f>
        <v>0</v>
      </c>
      <c r="K99" s="697"/>
      <c r="L99" s="697" t="s">
        <v>365</v>
      </c>
      <c r="M99" s="697"/>
      <c r="N99" s="697"/>
      <c r="O99" s="697"/>
      <c r="P99" s="616"/>
      <c r="Q99" s="697"/>
    </row>
    <row r="100" spans="1:17" ht="38.25">
      <c r="A100" s="557"/>
      <c r="B100" s="557"/>
      <c r="C100" s="743" t="s">
        <v>274</v>
      </c>
      <c r="D100" s="744" t="s">
        <v>285</v>
      </c>
      <c r="E100" s="745" t="s">
        <v>286</v>
      </c>
      <c r="F100" s="744" t="s">
        <v>287</v>
      </c>
      <c r="G100" s="744" t="s">
        <v>460</v>
      </c>
      <c r="H100" s="745" t="s">
        <v>358</v>
      </c>
      <c r="I100" s="746" t="s">
        <v>358</v>
      </c>
      <c r="J100" s="743" t="s">
        <v>297</v>
      </c>
      <c r="K100" s="747"/>
      <c r="L100" s="745" t="s">
        <v>360</v>
      </c>
      <c r="M100" s="745" t="s">
        <v>366</v>
      </c>
      <c r="N100" s="745" t="s">
        <v>360</v>
      </c>
      <c r="O100" s="745" t="s">
        <v>368</v>
      </c>
      <c r="P100" s="745" t="s">
        <v>288</v>
      </c>
      <c r="Q100" s="749"/>
    </row>
    <row r="101" spans="1:17" ht="13.5" thickBot="1">
      <c r="B101" s="357"/>
      <c r="C101" s="750" t="s">
        <v>179</v>
      </c>
      <c r="D101" s="751" t="s">
        <v>180</v>
      </c>
      <c r="E101" s="750" t="s">
        <v>38</v>
      </c>
      <c r="F101" s="751" t="s">
        <v>180</v>
      </c>
      <c r="G101" s="751" t="s">
        <v>180</v>
      </c>
      <c r="H101" s="752" t="s">
        <v>300</v>
      </c>
      <c r="I101" s="753" t="s">
        <v>302</v>
      </c>
      <c r="J101" s="754" t="s">
        <v>391</v>
      </c>
      <c r="K101" s="755"/>
      <c r="L101" s="752" t="s">
        <v>289</v>
      </c>
      <c r="M101" s="752" t="s">
        <v>289</v>
      </c>
      <c r="N101" s="752" t="s">
        <v>469</v>
      </c>
      <c r="O101" s="752" t="s">
        <v>469</v>
      </c>
      <c r="P101" s="752" t="s">
        <v>469</v>
      </c>
      <c r="Q101" s="614"/>
    </row>
    <row r="102" spans="1:17">
      <c r="B102" s="357"/>
      <c r="C102" s="757">
        <f>IF(D96= "","-",D96)</f>
        <v>0</v>
      </c>
      <c r="D102" s="701">
        <f>+D95</f>
        <v>0</v>
      </c>
      <c r="E102" s="758">
        <f>+J99/12*(12-D97)</f>
        <v>0</v>
      </c>
      <c r="F102" s="805">
        <f t="shared" ref="F102:F133" si="0">+D102-E102</f>
        <v>0</v>
      </c>
      <c r="G102" s="701">
        <f t="shared" ref="G102:G133" si="1">+(D102+F102)/2</f>
        <v>0</v>
      </c>
      <c r="H102" s="759">
        <f>+J97*G102+E102</f>
        <v>0</v>
      </c>
      <c r="I102" s="760">
        <f>+J98*G102+E102</f>
        <v>0</v>
      </c>
      <c r="J102" s="761">
        <f t="shared" ref="J102:J133" si="2">+I102-H102</f>
        <v>0</v>
      </c>
      <c r="K102" s="761"/>
      <c r="L102" s="762"/>
      <c r="M102" s="806">
        <f t="shared" ref="M102:M133" si="3">IF(L102&lt;&gt;0,+H102-L102,0)</f>
        <v>0</v>
      </c>
      <c r="N102" s="762"/>
      <c r="O102" s="806">
        <f t="shared" ref="O102:O133" si="4">IF(N102&lt;&gt;0,+I102-N102,0)</f>
        <v>0</v>
      </c>
      <c r="P102" s="806">
        <f t="shared" ref="P102:P133" si="5">+O102-M102</f>
        <v>0</v>
      </c>
      <c r="Q102" s="702"/>
    </row>
    <row r="103" spans="1:17">
      <c r="B103" s="357"/>
      <c r="C103" s="757">
        <f>IF(D96="","-",+C102+1)</f>
        <v>1</v>
      </c>
      <c r="D103" s="701">
        <f t="shared" ref="D103:D134" si="6">F102</f>
        <v>0</v>
      </c>
      <c r="E103" s="764">
        <f t="shared" ref="E103:E134" si="7">IF(D103&gt;$J$99,$J$99,D103)</f>
        <v>0</v>
      </c>
      <c r="F103" s="764">
        <f t="shared" si="0"/>
        <v>0</v>
      </c>
      <c r="G103" s="701">
        <f t="shared" si="1"/>
        <v>0</v>
      </c>
      <c r="H103" s="758">
        <f>+J97*G103+E103</f>
        <v>0</v>
      </c>
      <c r="I103" s="765">
        <f>+J98*G103+E103</f>
        <v>0</v>
      </c>
      <c r="J103" s="761">
        <f t="shared" si="2"/>
        <v>0</v>
      </c>
      <c r="K103" s="761"/>
      <c r="L103" s="766"/>
      <c r="M103" s="761">
        <f t="shared" si="3"/>
        <v>0</v>
      </c>
      <c r="N103" s="766"/>
      <c r="O103" s="761">
        <f t="shared" si="4"/>
        <v>0</v>
      </c>
      <c r="P103" s="761">
        <f t="shared" si="5"/>
        <v>0</v>
      </c>
      <c r="Q103" s="702"/>
    </row>
    <row r="104" spans="1:17">
      <c r="B104" s="357"/>
      <c r="C104" s="757">
        <f>IF(D96="","-",+C103+1)</f>
        <v>2</v>
      </c>
      <c r="D104" s="701">
        <f t="shared" si="6"/>
        <v>0</v>
      </c>
      <c r="E104" s="764">
        <f t="shared" si="7"/>
        <v>0</v>
      </c>
      <c r="F104" s="764">
        <f t="shared" si="0"/>
        <v>0</v>
      </c>
      <c r="G104" s="701">
        <f t="shared" si="1"/>
        <v>0</v>
      </c>
      <c r="H104" s="758">
        <f>+J97*G104+E104</f>
        <v>0</v>
      </c>
      <c r="I104" s="765">
        <f>+J98*G104+E104</f>
        <v>0</v>
      </c>
      <c r="J104" s="761">
        <f t="shared" si="2"/>
        <v>0</v>
      </c>
      <c r="K104" s="761"/>
      <c r="L104" s="766"/>
      <c r="M104" s="761">
        <f t="shared" si="3"/>
        <v>0</v>
      </c>
      <c r="N104" s="766"/>
      <c r="O104" s="761">
        <f t="shared" si="4"/>
        <v>0</v>
      </c>
      <c r="P104" s="761">
        <f t="shared" si="5"/>
        <v>0</v>
      </c>
      <c r="Q104" s="702"/>
    </row>
    <row r="105" spans="1:17">
      <c r="B105" s="357"/>
      <c r="C105" s="757">
        <f>IF(D96="","-",+C104+1)</f>
        <v>3</v>
      </c>
      <c r="D105" s="701">
        <f t="shared" si="6"/>
        <v>0</v>
      </c>
      <c r="E105" s="764">
        <f t="shared" si="7"/>
        <v>0</v>
      </c>
      <c r="F105" s="764">
        <f t="shared" si="0"/>
        <v>0</v>
      </c>
      <c r="G105" s="701">
        <f t="shared" si="1"/>
        <v>0</v>
      </c>
      <c r="H105" s="758">
        <f>+J97*G105+E105</f>
        <v>0</v>
      </c>
      <c r="I105" s="765">
        <f>+J98*G105+E105</f>
        <v>0</v>
      </c>
      <c r="J105" s="761">
        <f t="shared" si="2"/>
        <v>0</v>
      </c>
      <c r="K105" s="761"/>
      <c r="L105" s="766"/>
      <c r="M105" s="761">
        <f t="shared" si="3"/>
        <v>0</v>
      </c>
      <c r="N105" s="766"/>
      <c r="O105" s="761">
        <f t="shared" si="4"/>
        <v>0</v>
      </c>
      <c r="P105" s="761">
        <f t="shared" si="5"/>
        <v>0</v>
      </c>
      <c r="Q105" s="702"/>
    </row>
    <row r="106" spans="1:17">
      <c r="B106" s="357"/>
      <c r="C106" s="757">
        <f>IF(D96="","-",+C105+1)</f>
        <v>4</v>
      </c>
      <c r="D106" s="701">
        <f t="shared" si="6"/>
        <v>0</v>
      </c>
      <c r="E106" s="764">
        <f t="shared" si="7"/>
        <v>0</v>
      </c>
      <c r="F106" s="764">
        <f t="shared" si="0"/>
        <v>0</v>
      </c>
      <c r="G106" s="701">
        <f t="shared" si="1"/>
        <v>0</v>
      </c>
      <c r="H106" s="758">
        <f>+J97*G106+E106</f>
        <v>0</v>
      </c>
      <c r="I106" s="765">
        <f>+J98*G106+E106</f>
        <v>0</v>
      </c>
      <c r="J106" s="761">
        <f t="shared" si="2"/>
        <v>0</v>
      </c>
      <c r="K106" s="761"/>
      <c r="L106" s="766"/>
      <c r="M106" s="761">
        <f t="shared" si="3"/>
        <v>0</v>
      </c>
      <c r="N106" s="766"/>
      <c r="O106" s="761">
        <f t="shared" si="4"/>
        <v>0</v>
      </c>
      <c r="P106" s="761">
        <f t="shared" si="5"/>
        <v>0</v>
      </c>
      <c r="Q106" s="702"/>
    </row>
    <row r="107" spans="1:17">
      <c r="B107" s="357"/>
      <c r="C107" s="757">
        <f>IF(D96="","-",+C106+1)</f>
        <v>5</v>
      </c>
      <c r="D107" s="701">
        <f t="shared" si="6"/>
        <v>0</v>
      </c>
      <c r="E107" s="764">
        <f t="shared" si="7"/>
        <v>0</v>
      </c>
      <c r="F107" s="764">
        <f t="shared" si="0"/>
        <v>0</v>
      </c>
      <c r="G107" s="701">
        <f t="shared" si="1"/>
        <v>0</v>
      </c>
      <c r="H107" s="758">
        <f>+J97*G107+E107</f>
        <v>0</v>
      </c>
      <c r="I107" s="765">
        <f>+J98*G107+E107</f>
        <v>0</v>
      </c>
      <c r="J107" s="761">
        <f t="shared" si="2"/>
        <v>0</v>
      </c>
      <c r="K107" s="761"/>
      <c r="L107" s="766"/>
      <c r="M107" s="761">
        <f t="shared" si="3"/>
        <v>0</v>
      </c>
      <c r="N107" s="766"/>
      <c r="O107" s="761">
        <f t="shared" si="4"/>
        <v>0</v>
      </c>
      <c r="P107" s="761">
        <f t="shared" si="5"/>
        <v>0</v>
      </c>
      <c r="Q107" s="702"/>
    </row>
    <row r="108" spans="1:17">
      <c r="B108" s="357"/>
      <c r="C108" s="757">
        <f>IF(D96="","-",+C107+1)</f>
        <v>6</v>
      </c>
      <c r="D108" s="701">
        <f t="shared" si="6"/>
        <v>0</v>
      </c>
      <c r="E108" s="764">
        <f t="shared" si="7"/>
        <v>0</v>
      </c>
      <c r="F108" s="764">
        <f t="shared" si="0"/>
        <v>0</v>
      </c>
      <c r="G108" s="701">
        <f t="shared" si="1"/>
        <v>0</v>
      </c>
      <c r="H108" s="758">
        <f>+J97*G108+E108</f>
        <v>0</v>
      </c>
      <c r="I108" s="765">
        <f>+J98*G108+E108</f>
        <v>0</v>
      </c>
      <c r="J108" s="761">
        <f t="shared" si="2"/>
        <v>0</v>
      </c>
      <c r="K108" s="761"/>
      <c r="L108" s="766"/>
      <c r="M108" s="761">
        <f t="shared" si="3"/>
        <v>0</v>
      </c>
      <c r="N108" s="766"/>
      <c r="O108" s="761">
        <f t="shared" si="4"/>
        <v>0</v>
      </c>
      <c r="P108" s="761">
        <f t="shared" si="5"/>
        <v>0</v>
      </c>
      <c r="Q108" s="702"/>
    </row>
    <row r="109" spans="1:17">
      <c r="B109" s="357"/>
      <c r="C109" s="757">
        <f>IF(D96="","-",+C108+1)</f>
        <v>7</v>
      </c>
      <c r="D109" s="701">
        <f t="shared" si="6"/>
        <v>0</v>
      </c>
      <c r="E109" s="764">
        <f t="shared" si="7"/>
        <v>0</v>
      </c>
      <c r="F109" s="764">
        <f t="shared" si="0"/>
        <v>0</v>
      </c>
      <c r="G109" s="701">
        <f t="shared" si="1"/>
        <v>0</v>
      </c>
      <c r="H109" s="758">
        <f>+J97*G109+E109</f>
        <v>0</v>
      </c>
      <c r="I109" s="765">
        <f>+J98*G109+E109</f>
        <v>0</v>
      </c>
      <c r="J109" s="761">
        <f t="shared" si="2"/>
        <v>0</v>
      </c>
      <c r="K109" s="761"/>
      <c r="L109" s="766"/>
      <c r="M109" s="761">
        <f t="shared" si="3"/>
        <v>0</v>
      </c>
      <c r="N109" s="766"/>
      <c r="O109" s="761">
        <f t="shared" si="4"/>
        <v>0</v>
      </c>
      <c r="P109" s="761">
        <f t="shared" si="5"/>
        <v>0</v>
      </c>
      <c r="Q109" s="702"/>
    </row>
    <row r="110" spans="1:17">
      <c r="B110" s="357"/>
      <c r="C110" s="757">
        <f>IF(D96="","-",+C109+1)</f>
        <v>8</v>
      </c>
      <c r="D110" s="701">
        <f t="shared" si="6"/>
        <v>0</v>
      </c>
      <c r="E110" s="764">
        <f t="shared" si="7"/>
        <v>0</v>
      </c>
      <c r="F110" s="764">
        <f t="shared" si="0"/>
        <v>0</v>
      </c>
      <c r="G110" s="701">
        <f t="shared" si="1"/>
        <v>0</v>
      </c>
      <c r="H110" s="758">
        <f>+J97*G110+E110</f>
        <v>0</v>
      </c>
      <c r="I110" s="765">
        <f>+J98*G110+E110</f>
        <v>0</v>
      </c>
      <c r="J110" s="761">
        <f t="shared" si="2"/>
        <v>0</v>
      </c>
      <c r="K110" s="761"/>
      <c r="L110" s="766"/>
      <c r="M110" s="761">
        <f t="shared" si="3"/>
        <v>0</v>
      </c>
      <c r="N110" s="766"/>
      <c r="O110" s="761">
        <f t="shared" si="4"/>
        <v>0</v>
      </c>
      <c r="P110" s="761">
        <f t="shared" si="5"/>
        <v>0</v>
      </c>
      <c r="Q110" s="702"/>
    </row>
    <row r="111" spans="1:17">
      <c r="B111" s="357"/>
      <c r="C111" s="757">
        <f>IF(D96="","-",+C110+1)</f>
        <v>9</v>
      </c>
      <c r="D111" s="701">
        <f t="shared" si="6"/>
        <v>0</v>
      </c>
      <c r="E111" s="764">
        <f t="shared" si="7"/>
        <v>0</v>
      </c>
      <c r="F111" s="764">
        <f t="shared" si="0"/>
        <v>0</v>
      </c>
      <c r="G111" s="701">
        <f t="shared" si="1"/>
        <v>0</v>
      </c>
      <c r="H111" s="758">
        <f>+J97*G111+E111</f>
        <v>0</v>
      </c>
      <c r="I111" s="765">
        <f>+J98*G111+E111</f>
        <v>0</v>
      </c>
      <c r="J111" s="761">
        <f t="shared" si="2"/>
        <v>0</v>
      </c>
      <c r="K111" s="761"/>
      <c r="L111" s="766"/>
      <c r="M111" s="761">
        <f t="shared" si="3"/>
        <v>0</v>
      </c>
      <c r="N111" s="766"/>
      <c r="O111" s="761">
        <f t="shared" si="4"/>
        <v>0</v>
      </c>
      <c r="P111" s="761">
        <f t="shared" si="5"/>
        <v>0</v>
      </c>
      <c r="Q111" s="702"/>
    </row>
    <row r="112" spans="1:17">
      <c r="B112" s="357"/>
      <c r="C112" s="757">
        <f>IF(D96="","-",+C111+1)</f>
        <v>10</v>
      </c>
      <c r="D112" s="701">
        <f t="shared" si="6"/>
        <v>0</v>
      </c>
      <c r="E112" s="764">
        <f t="shared" si="7"/>
        <v>0</v>
      </c>
      <c r="F112" s="764">
        <f t="shared" si="0"/>
        <v>0</v>
      </c>
      <c r="G112" s="701">
        <f t="shared" si="1"/>
        <v>0</v>
      </c>
      <c r="H112" s="758">
        <f>+J97*G112+E112</f>
        <v>0</v>
      </c>
      <c r="I112" s="765">
        <f>+J98*G112+E112</f>
        <v>0</v>
      </c>
      <c r="J112" s="761">
        <f t="shared" si="2"/>
        <v>0</v>
      </c>
      <c r="K112" s="761"/>
      <c r="L112" s="766"/>
      <c r="M112" s="761">
        <f t="shared" si="3"/>
        <v>0</v>
      </c>
      <c r="N112" s="766"/>
      <c r="O112" s="761">
        <f t="shared" si="4"/>
        <v>0</v>
      </c>
      <c r="P112" s="761">
        <f t="shared" si="5"/>
        <v>0</v>
      </c>
      <c r="Q112" s="702"/>
    </row>
    <row r="113" spans="2:17">
      <c r="B113" s="357"/>
      <c r="C113" s="757">
        <f>IF(D96="","-",+C112+1)</f>
        <v>11</v>
      </c>
      <c r="D113" s="701">
        <f t="shared" si="6"/>
        <v>0</v>
      </c>
      <c r="E113" s="764">
        <f t="shared" si="7"/>
        <v>0</v>
      </c>
      <c r="F113" s="764">
        <f t="shared" si="0"/>
        <v>0</v>
      </c>
      <c r="G113" s="701">
        <f t="shared" si="1"/>
        <v>0</v>
      </c>
      <c r="H113" s="758">
        <f>+J97*G113+E113</f>
        <v>0</v>
      </c>
      <c r="I113" s="765">
        <f>+J98*G113+E113</f>
        <v>0</v>
      </c>
      <c r="J113" s="761">
        <f t="shared" si="2"/>
        <v>0</v>
      </c>
      <c r="K113" s="761"/>
      <c r="L113" s="766"/>
      <c r="M113" s="761">
        <f t="shared" si="3"/>
        <v>0</v>
      </c>
      <c r="N113" s="766"/>
      <c r="O113" s="761">
        <f t="shared" si="4"/>
        <v>0</v>
      </c>
      <c r="P113" s="761">
        <f t="shared" si="5"/>
        <v>0</v>
      </c>
      <c r="Q113" s="702"/>
    </row>
    <row r="114" spans="2:17">
      <c r="B114" s="357"/>
      <c r="C114" s="757">
        <f>IF(D96="","-",+C113+1)</f>
        <v>12</v>
      </c>
      <c r="D114" s="701">
        <f t="shared" si="6"/>
        <v>0</v>
      </c>
      <c r="E114" s="764">
        <f t="shared" si="7"/>
        <v>0</v>
      </c>
      <c r="F114" s="764">
        <f t="shared" si="0"/>
        <v>0</v>
      </c>
      <c r="G114" s="701">
        <f t="shared" si="1"/>
        <v>0</v>
      </c>
      <c r="H114" s="758">
        <f>+J97*G114+E114</f>
        <v>0</v>
      </c>
      <c r="I114" s="765">
        <f>+J98*G114+E114</f>
        <v>0</v>
      </c>
      <c r="J114" s="761">
        <f t="shared" si="2"/>
        <v>0</v>
      </c>
      <c r="K114" s="761"/>
      <c r="L114" s="766"/>
      <c r="M114" s="761">
        <f t="shared" si="3"/>
        <v>0</v>
      </c>
      <c r="N114" s="766"/>
      <c r="O114" s="761">
        <f t="shared" si="4"/>
        <v>0</v>
      </c>
      <c r="P114" s="761">
        <f t="shared" si="5"/>
        <v>0</v>
      </c>
      <c r="Q114" s="702"/>
    </row>
    <row r="115" spans="2:17">
      <c r="B115" s="357"/>
      <c r="C115" s="757">
        <f>IF(D96="","-",+C114+1)</f>
        <v>13</v>
      </c>
      <c r="D115" s="701">
        <f t="shared" si="6"/>
        <v>0</v>
      </c>
      <c r="E115" s="764">
        <f t="shared" si="7"/>
        <v>0</v>
      </c>
      <c r="F115" s="764">
        <f t="shared" si="0"/>
        <v>0</v>
      </c>
      <c r="G115" s="701">
        <f t="shared" si="1"/>
        <v>0</v>
      </c>
      <c r="H115" s="758">
        <f>+J97*G115+E115</f>
        <v>0</v>
      </c>
      <c r="I115" s="765">
        <f>+J98*G115+E115</f>
        <v>0</v>
      </c>
      <c r="J115" s="761">
        <f t="shared" si="2"/>
        <v>0</v>
      </c>
      <c r="K115" s="761"/>
      <c r="L115" s="766"/>
      <c r="M115" s="761">
        <f t="shared" si="3"/>
        <v>0</v>
      </c>
      <c r="N115" s="766"/>
      <c r="O115" s="761">
        <f t="shared" si="4"/>
        <v>0</v>
      </c>
      <c r="P115" s="761">
        <f t="shared" si="5"/>
        <v>0</v>
      </c>
      <c r="Q115" s="702"/>
    </row>
    <row r="116" spans="2:17">
      <c r="B116" s="357"/>
      <c r="C116" s="757">
        <f>IF(D96="","-",+C115+1)</f>
        <v>14</v>
      </c>
      <c r="D116" s="701">
        <f t="shared" si="6"/>
        <v>0</v>
      </c>
      <c r="E116" s="764">
        <f t="shared" si="7"/>
        <v>0</v>
      </c>
      <c r="F116" s="764">
        <f t="shared" si="0"/>
        <v>0</v>
      </c>
      <c r="G116" s="701">
        <f t="shared" si="1"/>
        <v>0</v>
      </c>
      <c r="H116" s="758">
        <f>+J97*G116+E116</f>
        <v>0</v>
      </c>
      <c r="I116" s="765">
        <f>+J98*G116+E116</f>
        <v>0</v>
      </c>
      <c r="J116" s="761">
        <f t="shared" si="2"/>
        <v>0</v>
      </c>
      <c r="K116" s="761"/>
      <c r="L116" s="766"/>
      <c r="M116" s="761">
        <f t="shared" si="3"/>
        <v>0</v>
      </c>
      <c r="N116" s="766"/>
      <c r="O116" s="761">
        <f t="shared" si="4"/>
        <v>0</v>
      </c>
      <c r="P116" s="761">
        <f t="shared" si="5"/>
        <v>0</v>
      </c>
      <c r="Q116" s="702"/>
    </row>
    <row r="117" spans="2:17">
      <c r="B117" s="357"/>
      <c r="C117" s="757">
        <f>IF(D96="","-",+C116+1)</f>
        <v>15</v>
      </c>
      <c r="D117" s="701">
        <f t="shared" si="6"/>
        <v>0</v>
      </c>
      <c r="E117" s="764">
        <f t="shared" si="7"/>
        <v>0</v>
      </c>
      <c r="F117" s="764">
        <f t="shared" si="0"/>
        <v>0</v>
      </c>
      <c r="G117" s="701">
        <f t="shared" si="1"/>
        <v>0</v>
      </c>
      <c r="H117" s="758">
        <f>+J97*G117+E117</f>
        <v>0</v>
      </c>
      <c r="I117" s="765">
        <f>+J98*G117+E117</f>
        <v>0</v>
      </c>
      <c r="J117" s="761">
        <f t="shared" si="2"/>
        <v>0</v>
      </c>
      <c r="K117" s="761"/>
      <c r="L117" s="766"/>
      <c r="M117" s="761">
        <f t="shared" si="3"/>
        <v>0</v>
      </c>
      <c r="N117" s="766"/>
      <c r="O117" s="761">
        <f t="shared" si="4"/>
        <v>0</v>
      </c>
      <c r="P117" s="761">
        <f t="shared" si="5"/>
        <v>0</v>
      </c>
      <c r="Q117" s="702"/>
    </row>
    <row r="118" spans="2:17">
      <c r="B118" s="357"/>
      <c r="C118" s="757">
        <f>IF(D96="","-",+C117+1)</f>
        <v>16</v>
      </c>
      <c r="D118" s="701">
        <f t="shared" si="6"/>
        <v>0</v>
      </c>
      <c r="E118" s="764">
        <f t="shared" si="7"/>
        <v>0</v>
      </c>
      <c r="F118" s="764">
        <f t="shared" si="0"/>
        <v>0</v>
      </c>
      <c r="G118" s="701">
        <f t="shared" si="1"/>
        <v>0</v>
      </c>
      <c r="H118" s="758">
        <f>+J97*G118+E118</f>
        <v>0</v>
      </c>
      <c r="I118" s="765">
        <f>+J98*G118+E118</f>
        <v>0</v>
      </c>
      <c r="J118" s="761">
        <f t="shared" si="2"/>
        <v>0</v>
      </c>
      <c r="K118" s="761"/>
      <c r="L118" s="766"/>
      <c r="M118" s="761">
        <f t="shared" si="3"/>
        <v>0</v>
      </c>
      <c r="N118" s="766"/>
      <c r="O118" s="761">
        <f t="shared" si="4"/>
        <v>0</v>
      </c>
      <c r="P118" s="761">
        <f t="shared" si="5"/>
        <v>0</v>
      </c>
      <c r="Q118" s="702"/>
    </row>
    <row r="119" spans="2:17">
      <c r="B119" s="357"/>
      <c r="C119" s="757">
        <f>IF(D96="","-",+C118+1)</f>
        <v>17</v>
      </c>
      <c r="D119" s="701">
        <f t="shared" si="6"/>
        <v>0</v>
      </c>
      <c r="E119" s="764">
        <f t="shared" si="7"/>
        <v>0</v>
      </c>
      <c r="F119" s="764">
        <f t="shared" si="0"/>
        <v>0</v>
      </c>
      <c r="G119" s="701">
        <f t="shared" si="1"/>
        <v>0</v>
      </c>
      <c r="H119" s="758">
        <f>+J97*G119+E119</f>
        <v>0</v>
      </c>
      <c r="I119" s="765">
        <f>+J98*G119+E119</f>
        <v>0</v>
      </c>
      <c r="J119" s="761">
        <f t="shared" si="2"/>
        <v>0</v>
      </c>
      <c r="K119" s="761"/>
      <c r="L119" s="766"/>
      <c r="M119" s="761">
        <f t="shared" si="3"/>
        <v>0</v>
      </c>
      <c r="N119" s="766"/>
      <c r="O119" s="761">
        <f t="shared" si="4"/>
        <v>0</v>
      </c>
      <c r="P119" s="761">
        <f t="shared" si="5"/>
        <v>0</v>
      </c>
      <c r="Q119" s="702"/>
    </row>
    <row r="120" spans="2:17">
      <c r="B120" s="357"/>
      <c r="C120" s="757">
        <f>IF(D96="","-",+C119+1)</f>
        <v>18</v>
      </c>
      <c r="D120" s="701">
        <f t="shared" si="6"/>
        <v>0</v>
      </c>
      <c r="E120" s="764">
        <f t="shared" si="7"/>
        <v>0</v>
      </c>
      <c r="F120" s="764">
        <f t="shared" si="0"/>
        <v>0</v>
      </c>
      <c r="G120" s="701">
        <f t="shared" si="1"/>
        <v>0</v>
      </c>
      <c r="H120" s="758">
        <f>+J97*G120+E120</f>
        <v>0</v>
      </c>
      <c r="I120" s="765">
        <f>+J98*G120+E120</f>
        <v>0</v>
      </c>
      <c r="J120" s="761">
        <f t="shared" si="2"/>
        <v>0</v>
      </c>
      <c r="K120" s="761"/>
      <c r="L120" s="766"/>
      <c r="M120" s="761">
        <f t="shared" si="3"/>
        <v>0</v>
      </c>
      <c r="N120" s="766"/>
      <c r="O120" s="761">
        <f t="shared" si="4"/>
        <v>0</v>
      </c>
      <c r="P120" s="761">
        <f t="shared" si="5"/>
        <v>0</v>
      </c>
      <c r="Q120" s="702"/>
    </row>
    <row r="121" spans="2:17">
      <c r="B121" s="357"/>
      <c r="C121" s="757">
        <f>IF(D96="","-",+C120+1)</f>
        <v>19</v>
      </c>
      <c r="D121" s="701">
        <f t="shared" si="6"/>
        <v>0</v>
      </c>
      <c r="E121" s="764">
        <f t="shared" si="7"/>
        <v>0</v>
      </c>
      <c r="F121" s="764">
        <f t="shared" si="0"/>
        <v>0</v>
      </c>
      <c r="G121" s="701">
        <f t="shared" si="1"/>
        <v>0</v>
      </c>
      <c r="H121" s="758">
        <f>+J97*G121+E121</f>
        <v>0</v>
      </c>
      <c r="I121" s="765">
        <f>+J98*G121+E121</f>
        <v>0</v>
      </c>
      <c r="J121" s="761">
        <f t="shared" si="2"/>
        <v>0</v>
      </c>
      <c r="K121" s="761"/>
      <c r="L121" s="766"/>
      <c r="M121" s="761">
        <f t="shared" si="3"/>
        <v>0</v>
      </c>
      <c r="N121" s="766"/>
      <c r="O121" s="761">
        <f t="shared" si="4"/>
        <v>0</v>
      </c>
      <c r="P121" s="761">
        <f t="shared" si="5"/>
        <v>0</v>
      </c>
      <c r="Q121" s="702"/>
    </row>
    <row r="122" spans="2:17">
      <c r="B122" s="357"/>
      <c r="C122" s="757">
        <f>IF(D96="","-",+C121+1)</f>
        <v>20</v>
      </c>
      <c r="D122" s="701">
        <f t="shared" si="6"/>
        <v>0</v>
      </c>
      <c r="E122" s="764">
        <f t="shared" si="7"/>
        <v>0</v>
      </c>
      <c r="F122" s="764">
        <f t="shared" si="0"/>
        <v>0</v>
      </c>
      <c r="G122" s="701">
        <f t="shared" si="1"/>
        <v>0</v>
      </c>
      <c r="H122" s="758">
        <f>+J97*G122+E122</f>
        <v>0</v>
      </c>
      <c r="I122" s="765">
        <f>+J98*G122+E122</f>
        <v>0</v>
      </c>
      <c r="J122" s="761">
        <f t="shared" si="2"/>
        <v>0</v>
      </c>
      <c r="K122" s="761"/>
      <c r="L122" s="766"/>
      <c r="M122" s="761">
        <f t="shared" si="3"/>
        <v>0</v>
      </c>
      <c r="N122" s="766"/>
      <c r="O122" s="761">
        <f t="shared" si="4"/>
        <v>0</v>
      </c>
      <c r="P122" s="761">
        <f t="shared" si="5"/>
        <v>0</v>
      </c>
      <c r="Q122" s="702"/>
    </row>
    <row r="123" spans="2:17">
      <c r="B123" s="357"/>
      <c r="C123" s="757">
        <f>IF(D96="","-",+C122+1)</f>
        <v>21</v>
      </c>
      <c r="D123" s="701">
        <f t="shared" si="6"/>
        <v>0</v>
      </c>
      <c r="E123" s="764">
        <f t="shared" si="7"/>
        <v>0</v>
      </c>
      <c r="F123" s="764">
        <f t="shared" si="0"/>
        <v>0</v>
      </c>
      <c r="G123" s="701">
        <f t="shared" si="1"/>
        <v>0</v>
      </c>
      <c r="H123" s="758">
        <f>+J97*G123+E123</f>
        <v>0</v>
      </c>
      <c r="I123" s="765">
        <f>+J98*G123+E123</f>
        <v>0</v>
      </c>
      <c r="J123" s="761">
        <f t="shared" si="2"/>
        <v>0</v>
      </c>
      <c r="K123" s="761"/>
      <c r="L123" s="766"/>
      <c r="M123" s="761">
        <f t="shared" si="3"/>
        <v>0</v>
      </c>
      <c r="N123" s="766"/>
      <c r="O123" s="761">
        <f t="shared" si="4"/>
        <v>0</v>
      </c>
      <c r="P123" s="761">
        <f t="shared" si="5"/>
        <v>0</v>
      </c>
      <c r="Q123" s="702"/>
    </row>
    <row r="124" spans="2:17">
      <c r="B124" s="357"/>
      <c r="C124" s="757">
        <f>IF(D96="","-",+C123+1)</f>
        <v>22</v>
      </c>
      <c r="D124" s="701">
        <f t="shared" si="6"/>
        <v>0</v>
      </c>
      <c r="E124" s="764">
        <f t="shared" si="7"/>
        <v>0</v>
      </c>
      <c r="F124" s="764">
        <f t="shared" si="0"/>
        <v>0</v>
      </c>
      <c r="G124" s="701">
        <f t="shared" si="1"/>
        <v>0</v>
      </c>
      <c r="H124" s="758">
        <f>+J97*G124+E124</f>
        <v>0</v>
      </c>
      <c r="I124" s="765">
        <f>+J98*G124+E124</f>
        <v>0</v>
      </c>
      <c r="J124" s="761">
        <f t="shared" si="2"/>
        <v>0</v>
      </c>
      <c r="K124" s="761"/>
      <c r="L124" s="766"/>
      <c r="M124" s="761">
        <f t="shared" si="3"/>
        <v>0</v>
      </c>
      <c r="N124" s="766"/>
      <c r="O124" s="761">
        <f t="shared" si="4"/>
        <v>0</v>
      </c>
      <c r="P124" s="761">
        <f t="shared" si="5"/>
        <v>0</v>
      </c>
      <c r="Q124" s="702"/>
    </row>
    <row r="125" spans="2:17">
      <c r="B125" s="357"/>
      <c r="C125" s="757">
        <f>IF(D96="","-",+C124+1)</f>
        <v>23</v>
      </c>
      <c r="D125" s="701">
        <f t="shared" si="6"/>
        <v>0</v>
      </c>
      <c r="E125" s="764">
        <f t="shared" si="7"/>
        <v>0</v>
      </c>
      <c r="F125" s="764">
        <f t="shared" si="0"/>
        <v>0</v>
      </c>
      <c r="G125" s="701">
        <f t="shared" si="1"/>
        <v>0</v>
      </c>
      <c r="H125" s="758">
        <f>+J97*G125+E125</f>
        <v>0</v>
      </c>
      <c r="I125" s="765">
        <f>+J98*G125+E125</f>
        <v>0</v>
      </c>
      <c r="J125" s="761">
        <f t="shared" si="2"/>
        <v>0</v>
      </c>
      <c r="K125" s="761"/>
      <c r="L125" s="766"/>
      <c r="M125" s="761">
        <f t="shared" si="3"/>
        <v>0</v>
      </c>
      <c r="N125" s="766"/>
      <c r="O125" s="761">
        <f t="shared" si="4"/>
        <v>0</v>
      </c>
      <c r="P125" s="761">
        <f t="shared" si="5"/>
        <v>0</v>
      </c>
      <c r="Q125" s="702"/>
    </row>
    <row r="126" spans="2:17">
      <c r="B126" s="357"/>
      <c r="C126" s="757">
        <f>IF(D96="","-",+C125+1)</f>
        <v>24</v>
      </c>
      <c r="D126" s="701">
        <f t="shared" si="6"/>
        <v>0</v>
      </c>
      <c r="E126" s="764">
        <f t="shared" si="7"/>
        <v>0</v>
      </c>
      <c r="F126" s="764">
        <f t="shared" si="0"/>
        <v>0</v>
      </c>
      <c r="G126" s="701">
        <f t="shared" si="1"/>
        <v>0</v>
      </c>
      <c r="H126" s="758">
        <f>+J97*G126+E126</f>
        <v>0</v>
      </c>
      <c r="I126" s="765">
        <f>+J98*G126+E126</f>
        <v>0</v>
      </c>
      <c r="J126" s="761">
        <f t="shared" si="2"/>
        <v>0</v>
      </c>
      <c r="K126" s="761"/>
      <c r="L126" s="766"/>
      <c r="M126" s="761">
        <f t="shared" si="3"/>
        <v>0</v>
      </c>
      <c r="N126" s="766"/>
      <c r="O126" s="761">
        <f t="shared" si="4"/>
        <v>0</v>
      </c>
      <c r="P126" s="761">
        <f t="shared" si="5"/>
        <v>0</v>
      </c>
      <c r="Q126" s="702"/>
    </row>
    <row r="127" spans="2:17">
      <c r="B127" s="357"/>
      <c r="C127" s="757">
        <f>IF(D96="","-",+C126+1)</f>
        <v>25</v>
      </c>
      <c r="D127" s="701">
        <f t="shared" si="6"/>
        <v>0</v>
      </c>
      <c r="E127" s="764">
        <f t="shared" si="7"/>
        <v>0</v>
      </c>
      <c r="F127" s="764">
        <f t="shared" si="0"/>
        <v>0</v>
      </c>
      <c r="G127" s="701">
        <f t="shared" si="1"/>
        <v>0</v>
      </c>
      <c r="H127" s="758">
        <f>+J97*G127+E127</f>
        <v>0</v>
      </c>
      <c r="I127" s="765">
        <f>+J98*G127+E127</f>
        <v>0</v>
      </c>
      <c r="J127" s="761">
        <f t="shared" si="2"/>
        <v>0</v>
      </c>
      <c r="K127" s="761"/>
      <c r="L127" s="766"/>
      <c r="M127" s="761">
        <f t="shared" si="3"/>
        <v>0</v>
      </c>
      <c r="N127" s="766"/>
      <c r="O127" s="761">
        <f t="shared" si="4"/>
        <v>0</v>
      </c>
      <c r="P127" s="761">
        <f t="shared" si="5"/>
        <v>0</v>
      </c>
      <c r="Q127" s="702"/>
    </row>
    <row r="128" spans="2:17">
      <c r="B128" s="357"/>
      <c r="C128" s="757">
        <f>IF(D96="","-",+C127+1)</f>
        <v>26</v>
      </c>
      <c r="D128" s="701">
        <f t="shared" si="6"/>
        <v>0</v>
      </c>
      <c r="E128" s="764">
        <f t="shared" si="7"/>
        <v>0</v>
      </c>
      <c r="F128" s="764">
        <f t="shared" si="0"/>
        <v>0</v>
      </c>
      <c r="G128" s="701">
        <f t="shared" si="1"/>
        <v>0</v>
      </c>
      <c r="H128" s="758">
        <f>+J97*G128+E128</f>
        <v>0</v>
      </c>
      <c r="I128" s="765">
        <f>+J98*G128+E128</f>
        <v>0</v>
      </c>
      <c r="J128" s="761">
        <f t="shared" si="2"/>
        <v>0</v>
      </c>
      <c r="K128" s="761"/>
      <c r="L128" s="766"/>
      <c r="M128" s="761">
        <f t="shared" si="3"/>
        <v>0</v>
      </c>
      <c r="N128" s="766"/>
      <c r="O128" s="761">
        <f t="shared" si="4"/>
        <v>0</v>
      </c>
      <c r="P128" s="761">
        <f t="shared" si="5"/>
        <v>0</v>
      </c>
      <c r="Q128" s="702"/>
    </row>
    <row r="129" spans="2:17">
      <c r="B129" s="357"/>
      <c r="C129" s="757">
        <f>IF(D96="","-",+C128+1)</f>
        <v>27</v>
      </c>
      <c r="D129" s="701">
        <f t="shared" si="6"/>
        <v>0</v>
      </c>
      <c r="E129" s="764">
        <f t="shared" si="7"/>
        <v>0</v>
      </c>
      <c r="F129" s="764">
        <f t="shared" si="0"/>
        <v>0</v>
      </c>
      <c r="G129" s="701">
        <f t="shared" si="1"/>
        <v>0</v>
      </c>
      <c r="H129" s="758">
        <f>+J97*G129+E129</f>
        <v>0</v>
      </c>
      <c r="I129" s="765">
        <f>+J98*G129+E129</f>
        <v>0</v>
      </c>
      <c r="J129" s="761">
        <f t="shared" si="2"/>
        <v>0</v>
      </c>
      <c r="K129" s="761"/>
      <c r="L129" s="766"/>
      <c r="M129" s="761">
        <f t="shared" si="3"/>
        <v>0</v>
      </c>
      <c r="N129" s="766"/>
      <c r="O129" s="761">
        <f t="shared" si="4"/>
        <v>0</v>
      </c>
      <c r="P129" s="761">
        <f t="shared" si="5"/>
        <v>0</v>
      </c>
      <c r="Q129" s="702"/>
    </row>
    <row r="130" spans="2:17">
      <c r="B130" s="357"/>
      <c r="C130" s="757">
        <f>IF(D96="","-",+C129+1)</f>
        <v>28</v>
      </c>
      <c r="D130" s="701">
        <f t="shared" si="6"/>
        <v>0</v>
      </c>
      <c r="E130" s="764">
        <f t="shared" si="7"/>
        <v>0</v>
      </c>
      <c r="F130" s="764">
        <f t="shared" si="0"/>
        <v>0</v>
      </c>
      <c r="G130" s="701">
        <f t="shared" si="1"/>
        <v>0</v>
      </c>
      <c r="H130" s="758">
        <f>+J97*G130+E130</f>
        <v>0</v>
      </c>
      <c r="I130" s="765">
        <f>+J98*G130+E130</f>
        <v>0</v>
      </c>
      <c r="J130" s="761">
        <f t="shared" si="2"/>
        <v>0</v>
      </c>
      <c r="K130" s="761"/>
      <c r="L130" s="766"/>
      <c r="M130" s="761">
        <f t="shared" si="3"/>
        <v>0</v>
      </c>
      <c r="N130" s="766"/>
      <c r="O130" s="761">
        <f t="shared" si="4"/>
        <v>0</v>
      </c>
      <c r="P130" s="761">
        <f t="shared" si="5"/>
        <v>0</v>
      </c>
      <c r="Q130" s="702"/>
    </row>
    <row r="131" spans="2:17">
      <c r="B131" s="357"/>
      <c r="C131" s="757">
        <f>IF(D96="","-",+C130+1)</f>
        <v>29</v>
      </c>
      <c r="D131" s="701">
        <f t="shared" si="6"/>
        <v>0</v>
      </c>
      <c r="E131" s="764">
        <f t="shared" si="7"/>
        <v>0</v>
      </c>
      <c r="F131" s="764">
        <f t="shared" si="0"/>
        <v>0</v>
      </c>
      <c r="G131" s="701">
        <f t="shared" si="1"/>
        <v>0</v>
      </c>
      <c r="H131" s="758">
        <f>+J97*G131+E131</f>
        <v>0</v>
      </c>
      <c r="I131" s="765">
        <f>+J98*G131+E131</f>
        <v>0</v>
      </c>
      <c r="J131" s="761">
        <f t="shared" si="2"/>
        <v>0</v>
      </c>
      <c r="K131" s="761"/>
      <c r="L131" s="766"/>
      <c r="M131" s="761">
        <f t="shared" si="3"/>
        <v>0</v>
      </c>
      <c r="N131" s="766"/>
      <c r="O131" s="761">
        <f t="shared" si="4"/>
        <v>0</v>
      </c>
      <c r="P131" s="761">
        <f t="shared" si="5"/>
        <v>0</v>
      </c>
      <c r="Q131" s="702"/>
    </row>
    <row r="132" spans="2:17">
      <c r="B132" s="357"/>
      <c r="C132" s="757">
        <f>IF(D96="","-",+C131+1)</f>
        <v>30</v>
      </c>
      <c r="D132" s="701">
        <f t="shared" si="6"/>
        <v>0</v>
      </c>
      <c r="E132" s="764">
        <f t="shared" si="7"/>
        <v>0</v>
      </c>
      <c r="F132" s="764">
        <f t="shared" si="0"/>
        <v>0</v>
      </c>
      <c r="G132" s="701">
        <f t="shared" si="1"/>
        <v>0</v>
      </c>
      <c r="H132" s="758">
        <f>+J97*G132+E132</f>
        <v>0</v>
      </c>
      <c r="I132" s="765">
        <f>+J98*G132+E132</f>
        <v>0</v>
      </c>
      <c r="J132" s="761">
        <f t="shared" si="2"/>
        <v>0</v>
      </c>
      <c r="K132" s="761"/>
      <c r="L132" s="766"/>
      <c r="M132" s="761">
        <f t="shared" si="3"/>
        <v>0</v>
      </c>
      <c r="N132" s="766"/>
      <c r="O132" s="761">
        <f t="shared" si="4"/>
        <v>0</v>
      </c>
      <c r="P132" s="761">
        <f t="shared" si="5"/>
        <v>0</v>
      </c>
      <c r="Q132" s="702"/>
    </row>
    <row r="133" spans="2:17">
      <c r="B133" s="357"/>
      <c r="C133" s="757">
        <f>IF(D96="","-",+C132+1)</f>
        <v>31</v>
      </c>
      <c r="D133" s="701">
        <f t="shared" si="6"/>
        <v>0</v>
      </c>
      <c r="E133" s="764">
        <f t="shared" si="7"/>
        <v>0</v>
      </c>
      <c r="F133" s="764">
        <f t="shared" si="0"/>
        <v>0</v>
      </c>
      <c r="G133" s="701">
        <f t="shared" si="1"/>
        <v>0</v>
      </c>
      <c r="H133" s="758">
        <f>+J97*G133+E133</f>
        <v>0</v>
      </c>
      <c r="I133" s="765">
        <f>+J98*G133+E133</f>
        <v>0</v>
      </c>
      <c r="J133" s="761">
        <f t="shared" si="2"/>
        <v>0</v>
      </c>
      <c r="K133" s="761"/>
      <c r="L133" s="766"/>
      <c r="M133" s="761">
        <f t="shared" si="3"/>
        <v>0</v>
      </c>
      <c r="N133" s="766"/>
      <c r="O133" s="761">
        <f t="shared" si="4"/>
        <v>0</v>
      </c>
      <c r="P133" s="761">
        <f t="shared" si="5"/>
        <v>0</v>
      </c>
      <c r="Q133" s="702"/>
    </row>
    <row r="134" spans="2:17">
      <c r="B134" s="357"/>
      <c r="C134" s="757">
        <f>IF(D96="","-",+C133+1)</f>
        <v>32</v>
      </c>
      <c r="D134" s="701">
        <f t="shared" si="6"/>
        <v>0</v>
      </c>
      <c r="E134" s="764">
        <f t="shared" si="7"/>
        <v>0</v>
      </c>
      <c r="F134" s="764">
        <f t="shared" ref="F134:F161" si="8">+D134-E134</f>
        <v>0</v>
      </c>
      <c r="G134" s="701">
        <f t="shared" ref="G134:G161" si="9">+(D134+F134)/2</f>
        <v>0</v>
      </c>
      <c r="H134" s="758">
        <f>+J97*G134+E134</f>
        <v>0</v>
      </c>
      <c r="I134" s="765">
        <f>+J98*G134+E134</f>
        <v>0</v>
      </c>
      <c r="J134" s="761">
        <f t="shared" ref="J134:J161" si="10">+I134-H134</f>
        <v>0</v>
      </c>
      <c r="K134" s="761"/>
      <c r="L134" s="766"/>
      <c r="M134" s="761">
        <f t="shared" ref="M134:M161" si="11">IF(L134&lt;&gt;0,+H134-L134,0)</f>
        <v>0</v>
      </c>
      <c r="N134" s="766"/>
      <c r="O134" s="761">
        <f t="shared" ref="O134:O161" si="12">IF(N134&lt;&gt;0,+I134-N134,0)</f>
        <v>0</v>
      </c>
      <c r="P134" s="761">
        <f t="shared" ref="P134:P161" si="13">+O134-M134</f>
        <v>0</v>
      </c>
      <c r="Q134" s="702"/>
    </row>
    <row r="135" spans="2:17">
      <c r="B135" s="357"/>
      <c r="C135" s="757">
        <f>IF(D96="","-",+C134+1)</f>
        <v>33</v>
      </c>
      <c r="D135" s="701">
        <f t="shared" ref="D135:D161" si="14">F134</f>
        <v>0</v>
      </c>
      <c r="E135" s="764">
        <f t="shared" ref="E135:E161" si="15">IF(D135&gt;$J$99,$J$99,D135)</f>
        <v>0</v>
      </c>
      <c r="F135" s="764">
        <f t="shared" si="8"/>
        <v>0</v>
      </c>
      <c r="G135" s="701">
        <f t="shared" si="9"/>
        <v>0</v>
      </c>
      <c r="H135" s="758">
        <f>+J97*G135+E135</f>
        <v>0</v>
      </c>
      <c r="I135" s="765">
        <f>+J98*G135+E135</f>
        <v>0</v>
      </c>
      <c r="J135" s="761">
        <f t="shared" si="10"/>
        <v>0</v>
      </c>
      <c r="K135" s="761"/>
      <c r="L135" s="766"/>
      <c r="M135" s="761">
        <f t="shared" si="11"/>
        <v>0</v>
      </c>
      <c r="N135" s="766"/>
      <c r="O135" s="761">
        <f t="shared" si="12"/>
        <v>0</v>
      </c>
      <c r="P135" s="761">
        <f t="shared" si="13"/>
        <v>0</v>
      </c>
      <c r="Q135" s="702"/>
    </row>
    <row r="136" spans="2:17">
      <c r="B136" s="357"/>
      <c r="C136" s="757">
        <f>IF(D96="","-",+C135+1)</f>
        <v>34</v>
      </c>
      <c r="D136" s="701">
        <f t="shared" si="14"/>
        <v>0</v>
      </c>
      <c r="E136" s="764">
        <f t="shared" si="15"/>
        <v>0</v>
      </c>
      <c r="F136" s="764">
        <f t="shared" si="8"/>
        <v>0</v>
      </c>
      <c r="G136" s="701">
        <f t="shared" si="9"/>
        <v>0</v>
      </c>
      <c r="H136" s="758">
        <f>+J97*G136+E136</f>
        <v>0</v>
      </c>
      <c r="I136" s="765">
        <f>+J98*G136+E136</f>
        <v>0</v>
      </c>
      <c r="J136" s="761">
        <f t="shared" si="10"/>
        <v>0</v>
      </c>
      <c r="K136" s="761"/>
      <c r="L136" s="766"/>
      <c r="M136" s="761">
        <f t="shared" si="11"/>
        <v>0</v>
      </c>
      <c r="N136" s="766"/>
      <c r="O136" s="761">
        <f t="shared" si="12"/>
        <v>0</v>
      </c>
      <c r="P136" s="761">
        <f t="shared" si="13"/>
        <v>0</v>
      </c>
      <c r="Q136" s="702"/>
    </row>
    <row r="137" spans="2:17">
      <c r="B137" s="357"/>
      <c r="C137" s="757">
        <f>IF(D96="","-",+C136+1)</f>
        <v>35</v>
      </c>
      <c r="D137" s="701">
        <f t="shared" si="14"/>
        <v>0</v>
      </c>
      <c r="E137" s="764">
        <f t="shared" si="15"/>
        <v>0</v>
      </c>
      <c r="F137" s="764">
        <f t="shared" si="8"/>
        <v>0</v>
      </c>
      <c r="G137" s="701">
        <f t="shared" si="9"/>
        <v>0</v>
      </c>
      <c r="H137" s="758">
        <f>+J97*G137+E137</f>
        <v>0</v>
      </c>
      <c r="I137" s="765">
        <f>+J98*G137+E137</f>
        <v>0</v>
      </c>
      <c r="J137" s="761">
        <f t="shared" si="10"/>
        <v>0</v>
      </c>
      <c r="K137" s="761"/>
      <c r="L137" s="766"/>
      <c r="M137" s="761">
        <f t="shared" si="11"/>
        <v>0</v>
      </c>
      <c r="N137" s="766"/>
      <c r="O137" s="761">
        <f t="shared" si="12"/>
        <v>0</v>
      </c>
      <c r="P137" s="761">
        <f t="shared" si="13"/>
        <v>0</v>
      </c>
      <c r="Q137" s="702"/>
    </row>
    <row r="138" spans="2:17">
      <c r="B138" s="357"/>
      <c r="C138" s="757">
        <f>IF(D96="","-",+C137+1)</f>
        <v>36</v>
      </c>
      <c r="D138" s="701">
        <f t="shared" si="14"/>
        <v>0</v>
      </c>
      <c r="E138" s="764">
        <f t="shared" si="15"/>
        <v>0</v>
      </c>
      <c r="F138" s="764">
        <f t="shared" si="8"/>
        <v>0</v>
      </c>
      <c r="G138" s="701">
        <f t="shared" si="9"/>
        <v>0</v>
      </c>
      <c r="H138" s="758">
        <f>+J97*G138+E138</f>
        <v>0</v>
      </c>
      <c r="I138" s="765">
        <f>+J98*G138+E138</f>
        <v>0</v>
      </c>
      <c r="J138" s="761">
        <f t="shared" si="10"/>
        <v>0</v>
      </c>
      <c r="K138" s="761"/>
      <c r="L138" s="766"/>
      <c r="M138" s="761">
        <f t="shared" si="11"/>
        <v>0</v>
      </c>
      <c r="N138" s="766"/>
      <c r="O138" s="761">
        <f t="shared" si="12"/>
        <v>0</v>
      </c>
      <c r="P138" s="761">
        <f t="shared" si="13"/>
        <v>0</v>
      </c>
      <c r="Q138" s="702"/>
    </row>
    <row r="139" spans="2:17">
      <c r="B139" s="357"/>
      <c r="C139" s="757">
        <f>IF(D96="","-",+C138+1)</f>
        <v>37</v>
      </c>
      <c r="D139" s="701">
        <f t="shared" si="14"/>
        <v>0</v>
      </c>
      <c r="E139" s="764">
        <f t="shared" si="15"/>
        <v>0</v>
      </c>
      <c r="F139" s="764">
        <f t="shared" si="8"/>
        <v>0</v>
      </c>
      <c r="G139" s="701">
        <f t="shared" si="9"/>
        <v>0</v>
      </c>
      <c r="H139" s="758">
        <f>+J97*G139+E139</f>
        <v>0</v>
      </c>
      <c r="I139" s="765">
        <f>+J98*G139+E139</f>
        <v>0</v>
      </c>
      <c r="J139" s="761">
        <f t="shared" si="10"/>
        <v>0</v>
      </c>
      <c r="K139" s="761"/>
      <c r="L139" s="766"/>
      <c r="M139" s="761">
        <f t="shared" si="11"/>
        <v>0</v>
      </c>
      <c r="N139" s="766"/>
      <c r="O139" s="761">
        <f t="shared" si="12"/>
        <v>0</v>
      </c>
      <c r="P139" s="761">
        <f t="shared" si="13"/>
        <v>0</v>
      </c>
      <c r="Q139" s="702"/>
    </row>
    <row r="140" spans="2:17">
      <c r="B140" s="357"/>
      <c r="C140" s="757">
        <f>IF(D96="","-",+C139+1)</f>
        <v>38</v>
      </c>
      <c r="D140" s="701">
        <f t="shared" si="14"/>
        <v>0</v>
      </c>
      <c r="E140" s="764">
        <f t="shared" si="15"/>
        <v>0</v>
      </c>
      <c r="F140" s="764">
        <f t="shared" si="8"/>
        <v>0</v>
      </c>
      <c r="G140" s="701">
        <f t="shared" si="9"/>
        <v>0</v>
      </c>
      <c r="H140" s="758">
        <f>+J97*G140+E140</f>
        <v>0</v>
      </c>
      <c r="I140" s="765">
        <f>+J98*G140+E140</f>
        <v>0</v>
      </c>
      <c r="J140" s="761">
        <f t="shared" si="10"/>
        <v>0</v>
      </c>
      <c r="K140" s="761"/>
      <c r="L140" s="766"/>
      <c r="M140" s="761">
        <f t="shared" si="11"/>
        <v>0</v>
      </c>
      <c r="N140" s="766"/>
      <c r="O140" s="761">
        <f t="shared" si="12"/>
        <v>0</v>
      </c>
      <c r="P140" s="761">
        <f t="shared" si="13"/>
        <v>0</v>
      </c>
      <c r="Q140" s="702"/>
    </row>
    <row r="141" spans="2:17">
      <c r="B141" s="357"/>
      <c r="C141" s="757">
        <f>IF(D96="","-",+C140+1)</f>
        <v>39</v>
      </c>
      <c r="D141" s="701">
        <f t="shared" si="14"/>
        <v>0</v>
      </c>
      <c r="E141" s="764">
        <f t="shared" si="15"/>
        <v>0</v>
      </c>
      <c r="F141" s="764">
        <f t="shared" si="8"/>
        <v>0</v>
      </c>
      <c r="G141" s="701">
        <f t="shared" si="9"/>
        <v>0</v>
      </c>
      <c r="H141" s="758">
        <f>+J97*G141+E141</f>
        <v>0</v>
      </c>
      <c r="I141" s="765">
        <f>+J98*G141+E141</f>
        <v>0</v>
      </c>
      <c r="J141" s="761">
        <f t="shared" si="10"/>
        <v>0</v>
      </c>
      <c r="K141" s="761"/>
      <c r="L141" s="766"/>
      <c r="M141" s="761">
        <f t="shared" si="11"/>
        <v>0</v>
      </c>
      <c r="N141" s="766"/>
      <c r="O141" s="761">
        <f t="shared" si="12"/>
        <v>0</v>
      </c>
      <c r="P141" s="761">
        <f t="shared" si="13"/>
        <v>0</v>
      </c>
      <c r="Q141" s="702"/>
    </row>
    <row r="142" spans="2:17">
      <c r="B142" s="357"/>
      <c r="C142" s="757">
        <f>IF(D96="","-",+C141+1)</f>
        <v>40</v>
      </c>
      <c r="D142" s="701">
        <f t="shared" si="14"/>
        <v>0</v>
      </c>
      <c r="E142" s="764">
        <f t="shared" si="15"/>
        <v>0</v>
      </c>
      <c r="F142" s="764">
        <f t="shared" si="8"/>
        <v>0</v>
      </c>
      <c r="G142" s="701">
        <v>0</v>
      </c>
      <c r="H142" s="758">
        <f>+J97*G142+E142</f>
        <v>0</v>
      </c>
      <c r="I142" s="765">
        <f>+J98*G142+E142</f>
        <v>0</v>
      </c>
      <c r="J142" s="761">
        <f t="shared" si="10"/>
        <v>0</v>
      </c>
      <c r="K142" s="761"/>
      <c r="L142" s="766"/>
      <c r="M142" s="761">
        <f t="shared" si="11"/>
        <v>0</v>
      </c>
      <c r="N142" s="766"/>
      <c r="O142" s="761">
        <f t="shared" si="12"/>
        <v>0</v>
      </c>
      <c r="P142" s="761">
        <f t="shared" si="13"/>
        <v>0</v>
      </c>
      <c r="Q142" s="702"/>
    </row>
    <row r="143" spans="2:17">
      <c r="B143" s="357"/>
      <c r="C143" s="757">
        <f>IF(D96="","-",+C142+1)</f>
        <v>41</v>
      </c>
      <c r="D143" s="701">
        <f t="shared" si="14"/>
        <v>0</v>
      </c>
      <c r="E143" s="764">
        <f t="shared" si="15"/>
        <v>0</v>
      </c>
      <c r="F143" s="764">
        <f t="shared" si="8"/>
        <v>0</v>
      </c>
      <c r="G143" s="701">
        <f t="shared" si="9"/>
        <v>0</v>
      </c>
      <c r="H143" s="758">
        <f>+J97*G143+E143</f>
        <v>0</v>
      </c>
      <c r="I143" s="765">
        <f>+J98*G143+E143</f>
        <v>0</v>
      </c>
      <c r="J143" s="761">
        <f t="shared" si="10"/>
        <v>0</v>
      </c>
      <c r="K143" s="761"/>
      <c r="L143" s="766"/>
      <c r="M143" s="761">
        <f t="shared" si="11"/>
        <v>0</v>
      </c>
      <c r="N143" s="766"/>
      <c r="O143" s="761">
        <f t="shared" si="12"/>
        <v>0</v>
      </c>
      <c r="P143" s="761">
        <f t="shared" si="13"/>
        <v>0</v>
      </c>
      <c r="Q143" s="702"/>
    </row>
    <row r="144" spans="2:17">
      <c r="B144" s="357"/>
      <c r="C144" s="757">
        <f>IF(D96="","-",+C143+1)</f>
        <v>42</v>
      </c>
      <c r="D144" s="701">
        <f t="shared" si="14"/>
        <v>0</v>
      </c>
      <c r="E144" s="764">
        <f t="shared" si="15"/>
        <v>0</v>
      </c>
      <c r="F144" s="764">
        <f t="shared" si="8"/>
        <v>0</v>
      </c>
      <c r="G144" s="701">
        <f t="shared" si="9"/>
        <v>0</v>
      </c>
      <c r="H144" s="758">
        <f>+J97*G144+E144</f>
        <v>0</v>
      </c>
      <c r="I144" s="765">
        <f>+J98*G144+E144</f>
        <v>0</v>
      </c>
      <c r="J144" s="761">
        <f t="shared" si="10"/>
        <v>0</v>
      </c>
      <c r="K144" s="761"/>
      <c r="L144" s="766"/>
      <c r="M144" s="761">
        <f t="shared" si="11"/>
        <v>0</v>
      </c>
      <c r="N144" s="766"/>
      <c r="O144" s="761">
        <f t="shared" si="12"/>
        <v>0</v>
      </c>
      <c r="P144" s="761">
        <f t="shared" si="13"/>
        <v>0</v>
      </c>
      <c r="Q144" s="702"/>
    </row>
    <row r="145" spans="2:17">
      <c r="B145" s="357"/>
      <c r="C145" s="757">
        <f>IF(D96="","-",+C144+1)</f>
        <v>43</v>
      </c>
      <c r="D145" s="701">
        <f t="shared" si="14"/>
        <v>0</v>
      </c>
      <c r="E145" s="764">
        <f t="shared" si="15"/>
        <v>0</v>
      </c>
      <c r="F145" s="764">
        <f t="shared" si="8"/>
        <v>0</v>
      </c>
      <c r="G145" s="701">
        <f t="shared" si="9"/>
        <v>0</v>
      </c>
      <c r="H145" s="758">
        <f>+J97*G145+E145</f>
        <v>0</v>
      </c>
      <c r="I145" s="765">
        <f>+J98*G145+E145</f>
        <v>0</v>
      </c>
      <c r="J145" s="761">
        <f t="shared" si="10"/>
        <v>0</v>
      </c>
      <c r="K145" s="761"/>
      <c r="L145" s="766"/>
      <c r="M145" s="761">
        <f t="shared" si="11"/>
        <v>0</v>
      </c>
      <c r="N145" s="766"/>
      <c r="O145" s="761">
        <f t="shared" si="12"/>
        <v>0</v>
      </c>
      <c r="P145" s="761">
        <f t="shared" si="13"/>
        <v>0</v>
      </c>
      <c r="Q145" s="702"/>
    </row>
    <row r="146" spans="2:17">
      <c r="B146" s="357"/>
      <c r="C146" s="757">
        <f>IF(D96="","-",+C145+1)</f>
        <v>44</v>
      </c>
      <c r="D146" s="701">
        <f t="shared" si="14"/>
        <v>0</v>
      </c>
      <c r="E146" s="764">
        <f t="shared" si="15"/>
        <v>0</v>
      </c>
      <c r="F146" s="764">
        <f t="shared" si="8"/>
        <v>0</v>
      </c>
      <c r="G146" s="701">
        <f t="shared" si="9"/>
        <v>0</v>
      </c>
      <c r="H146" s="758">
        <f>+J97*G146+E146</f>
        <v>0</v>
      </c>
      <c r="I146" s="765">
        <f>+J98*G146+E146</f>
        <v>0</v>
      </c>
      <c r="J146" s="761">
        <f t="shared" si="10"/>
        <v>0</v>
      </c>
      <c r="K146" s="761"/>
      <c r="L146" s="766"/>
      <c r="M146" s="761">
        <f t="shared" si="11"/>
        <v>0</v>
      </c>
      <c r="N146" s="766"/>
      <c r="O146" s="761">
        <f t="shared" si="12"/>
        <v>0</v>
      </c>
      <c r="P146" s="761">
        <f t="shared" si="13"/>
        <v>0</v>
      </c>
      <c r="Q146" s="702"/>
    </row>
    <row r="147" spans="2:17">
      <c r="B147" s="357"/>
      <c r="C147" s="757">
        <f>IF(D96="","-",+C146+1)</f>
        <v>45</v>
      </c>
      <c r="D147" s="701">
        <f t="shared" si="14"/>
        <v>0</v>
      </c>
      <c r="E147" s="764">
        <f t="shared" si="15"/>
        <v>0</v>
      </c>
      <c r="F147" s="764">
        <f t="shared" si="8"/>
        <v>0</v>
      </c>
      <c r="G147" s="701">
        <f t="shared" si="9"/>
        <v>0</v>
      </c>
      <c r="H147" s="758">
        <f>+J97*G147+E147</f>
        <v>0</v>
      </c>
      <c r="I147" s="765">
        <f>+J98*G147+E147</f>
        <v>0</v>
      </c>
      <c r="J147" s="761">
        <f t="shared" si="10"/>
        <v>0</v>
      </c>
      <c r="K147" s="761"/>
      <c r="L147" s="766"/>
      <c r="M147" s="761">
        <f t="shared" si="11"/>
        <v>0</v>
      </c>
      <c r="N147" s="766"/>
      <c r="O147" s="761">
        <f t="shared" si="12"/>
        <v>0</v>
      </c>
      <c r="P147" s="761">
        <f t="shared" si="13"/>
        <v>0</v>
      </c>
      <c r="Q147" s="702"/>
    </row>
    <row r="148" spans="2:17">
      <c r="B148" s="357"/>
      <c r="C148" s="757">
        <f>IF(D96="","-",+C147+1)</f>
        <v>46</v>
      </c>
      <c r="D148" s="701">
        <f t="shared" si="14"/>
        <v>0</v>
      </c>
      <c r="E148" s="764">
        <f t="shared" si="15"/>
        <v>0</v>
      </c>
      <c r="F148" s="764">
        <f t="shared" si="8"/>
        <v>0</v>
      </c>
      <c r="G148" s="701">
        <f t="shared" si="9"/>
        <v>0</v>
      </c>
      <c r="H148" s="758">
        <f>+J97*G148+E148</f>
        <v>0</v>
      </c>
      <c r="I148" s="765">
        <f>+J98*G148+E148</f>
        <v>0</v>
      </c>
      <c r="J148" s="761">
        <f t="shared" si="10"/>
        <v>0</v>
      </c>
      <c r="K148" s="761"/>
      <c r="L148" s="766"/>
      <c r="M148" s="761">
        <f t="shared" si="11"/>
        <v>0</v>
      </c>
      <c r="N148" s="766"/>
      <c r="O148" s="761">
        <f t="shared" si="12"/>
        <v>0</v>
      </c>
      <c r="P148" s="761">
        <f t="shared" si="13"/>
        <v>0</v>
      </c>
      <c r="Q148" s="702"/>
    </row>
    <row r="149" spans="2:17">
      <c r="B149" s="357"/>
      <c r="C149" s="757">
        <f>IF(D96="","-",+C148+1)</f>
        <v>47</v>
      </c>
      <c r="D149" s="701">
        <f t="shared" si="14"/>
        <v>0</v>
      </c>
      <c r="E149" s="764">
        <f t="shared" si="15"/>
        <v>0</v>
      </c>
      <c r="F149" s="764">
        <f t="shared" si="8"/>
        <v>0</v>
      </c>
      <c r="G149" s="701">
        <f t="shared" si="9"/>
        <v>0</v>
      </c>
      <c r="H149" s="758">
        <f>+J97*G149+E149</f>
        <v>0</v>
      </c>
      <c r="I149" s="765">
        <f>+J98*G149+E149</f>
        <v>0</v>
      </c>
      <c r="J149" s="761">
        <f t="shared" si="10"/>
        <v>0</v>
      </c>
      <c r="K149" s="761"/>
      <c r="L149" s="766"/>
      <c r="M149" s="761">
        <f t="shared" si="11"/>
        <v>0</v>
      </c>
      <c r="N149" s="766"/>
      <c r="O149" s="761">
        <f t="shared" si="12"/>
        <v>0</v>
      </c>
      <c r="P149" s="761">
        <f t="shared" si="13"/>
        <v>0</v>
      </c>
      <c r="Q149" s="702"/>
    </row>
    <row r="150" spans="2:17">
      <c r="B150" s="357"/>
      <c r="C150" s="757">
        <f>IF(D96="","-",+C149+1)</f>
        <v>48</v>
      </c>
      <c r="D150" s="701">
        <f t="shared" si="14"/>
        <v>0</v>
      </c>
      <c r="E150" s="764">
        <f t="shared" si="15"/>
        <v>0</v>
      </c>
      <c r="F150" s="764">
        <f t="shared" si="8"/>
        <v>0</v>
      </c>
      <c r="G150" s="701">
        <f t="shared" si="9"/>
        <v>0</v>
      </c>
      <c r="H150" s="758">
        <f>+J97*G150+E150</f>
        <v>0</v>
      </c>
      <c r="I150" s="765">
        <f>+J98*G150+E150</f>
        <v>0</v>
      </c>
      <c r="J150" s="761">
        <f t="shared" si="10"/>
        <v>0</v>
      </c>
      <c r="K150" s="761"/>
      <c r="L150" s="766"/>
      <c r="M150" s="761">
        <f t="shared" si="11"/>
        <v>0</v>
      </c>
      <c r="N150" s="766"/>
      <c r="O150" s="761">
        <f t="shared" si="12"/>
        <v>0</v>
      </c>
      <c r="P150" s="761">
        <f t="shared" si="13"/>
        <v>0</v>
      </c>
      <c r="Q150" s="702"/>
    </row>
    <row r="151" spans="2:17">
      <c r="B151" s="357"/>
      <c r="C151" s="757">
        <f>IF(D96="","-",+C150+1)</f>
        <v>49</v>
      </c>
      <c r="D151" s="701">
        <f t="shared" si="14"/>
        <v>0</v>
      </c>
      <c r="E151" s="764">
        <f t="shared" si="15"/>
        <v>0</v>
      </c>
      <c r="F151" s="764">
        <f t="shared" si="8"/>
        <v>0</v>
      </c>
      <c r="G151" s="701">
        <f t="shared" si="9"/>
        <v>0</v>
      </c>
      <c r="H151" s="758">
        <f>+J97*G151+E151</f>
        <v>0</v>
      </c>
      <c r="I151" s="765">
        <f>+J98*G151+E151</f>
        <v>0</v>
      </c>
      <c r="J151" s="761">
        <f t="shared" si="10"/>
        <v>0</v>
      </c>
      <c r="K151" s="761"/>
      <c r="L151" s="766"/>
      <c r="M151" s="761">
        <f t="shared" si="11"/>
        <v>0</v>
      </c>
      <c r="N151" s="766"/>
      <c r="O151" s="761">
        <f t="shared" si="12"/>
        <v>0</v>
      </c>
      <c r="P151" s="761">
        <f t="shared" si="13"/>
        <v>0</v>
      </c>
      <c r="Q151" s="702"/>
    </row>
    <row r="152" spans="2:17">
      <c r="B152" s="357"/>
      <c r="C152" s="757">
        <f>IF(D96="","-",+C151+1)</f>
        <v>50</v>
      </c>
      <c r="D152" s="701">
        <f t="shared" si="14"/>
        <v>0</v>
      </c>
      <c r="E152" s="764">
        <f t="shared" si="15"/>
        <v>0</v>
      </c>
      <c r="F152" s="764">
        <f t="shared" si="8"/>
        <v>0</v>
      </c>
      <c r="G152" s="701">
        <f t="shared" si="9"/>
        <v>0</v>
      </c>
      <c r="H152" s="758">
        <f>+J97*G152+E152</f>
        <v>0</v>
      </c>
      <c r="I152" s="765">
        <f>+J98*G152+E152</f>
        <v>0</v>
      </c>
      <c r="J152" s="761">
        <f t="shared" si="10"/>
        <v>0</v>
      </c>
      <c r="K152" s="761"/>
      <c r="L152" s="766"/>
      <c r="M152" s="761">
        <f t="shared" si="11"/>
        <v>0</v>
      </c>
      <c r="N152" s="766"/>
      <c r="O152" s="761">
        <f t="shared" si="12"/>
        <v>0</v>
      </c>
      <c r="P152" s="761">
        <f t="shared" si="13"/>
        <v>0</v>
      </c>
      <c r="Q152" s="702"/>
    </row>
    <row r="153" spans="2:17">
      <c r="B153" s="357"/>
      <c r="C153" s="757">
        <f>IF(D96="","-",+C152+1)</f>
        <v>51</v>
      </c>
      <c r="D153" s="701">
        <f t="shared" si="14"/>
        <v>0</v>
      </c>
      <c r="E153" s="764">
        <f t="shared" si="15"/>
        <v>0</v>
      </c>
      <c r="F153" s="764">
        <f t="shared" si="8"/>
        <v>0</v>
      </c>
      <c r="G153" s="701">
        <f t="shared" si="9"/>
        <v>0</v>
      </c>
      <c r="H153" s="758">
        <f>+J97*G153+E153</f>
        <v>0</v>
      </c>
      <c r="I153" s="765">
        <f>+J98*G153+E153</f>
        <v>0</v>
      </c>
      <c r="J153" s="761">
        <f t="shared" si="10"/>
        <v>0</v>
      </c>
      <c r="K153" s="761"/>
      <c r="L153" s="766"/>
      <c r="M153" s="761">
        <f t="shared" si="11"/>
        <v>0</v>
      </c>
      <c r="N153" s="766"/>
      <c r="O153" s="761">
        <f t="shared" si="12"/>
        <v>0</v>
      </c>
      <c r="P153" s="761">
        <f t="shared" si="13"/>
        <v>0</v>
      </c>
      <c r="Q153" s="702"/>
    </row>
    <row r="154" spans="2:17">
      <c r="B154" s="357"/>
      <c r="C154" s="757">
        <f>IF(D96="","-",+C153+1)</f>
        <v>52</v>
      </c>
      <c r="D154" s="701">
        <f t="shared" si="14"/>
        <v>0</v>
      </c>
      <c r="E154" s="764">
        <f t="shared" si="15"/>
        <v>0</v>
      </c>
      <c r="F154" s="764">
        <f t="shared" si="8"/>
        <v>0</v>
      </c>
      <c r="G154" s="701">
        <f t="shared" si="9"/>
        <v>0</v>
      </c>
      <c r="H154" s="758">
        <f>+J97*G154+E154</f>
        <v>0</v>
      </c>
      <c r="I154" s="765">
        <f>+J98*G154+E154</f>
        <v>0</v>
      </c>
      <c r="J154" s="761">
        <f t="shared" si="10"/>
        <v>0</v>
      </c>
      <c r="K154" s="761"/>
      <c r="L154" s="766"/>
      <c r="M154" s="761">
        <f t="shared" si="11"/>
        <v>0</v>
      </c>
      <c r="N154" s="766"/>
      <c r="O154" s="761">
        <f t="shared" si="12"/>
        <v>0</v>
      </c>
      <c r="P154" s="761">
        <f t="shared" si="13"/>
        <v>0</v>
      </c>
      <c r="Q154" s="702"/>
    </row>
    <row r="155" spans="2:17">
      <c r="B155" s="357"/>
      <c r="C155" s="757">
        <f>IF(D96="","-",+C154+1)</f>
        <v>53</v>
      </c>
      <c r="D155" s="701">
        <f t="shared" si="14"/>
        <v>0</v>
      </c>
      <c r="E155" s="764">
        <f t="shared" si="15"/>
        <v>0</v>
      </c>
      <c r="F155" s="764">
        <f t="shared" si="8"/>
        <v>0</v>
      </c>
      <c r="G155" s="701">
        <f t="shared" si="9"/>
        <v>0</v>
      </c>
      <c r="H155" s="758">
        <f>+J97*G155+E155</f>
        <v>0</v>
      </c>
      <c r="I155" s="765">
        <f>+J98*G155+E155</f>
        <v>0</v>
      </c>
      <c r="J155" s="761">
        <f t="shared" si="10"/>
        <v>0</v>
      </c>
      <c r="K155" s="761"/>
      <c r="L155" s="766"/>
      <c r="M155" s="761">
        <f t="shared" si="11"/>
        <v>0</v>
      </c>
      <c r="N155" s="766"/>
      <c r="O155" s="761">
        <f t="shared" si="12"/>
        <v>0</v>
      </c>
      <c r="P155" s="761">
        <f t="shared" si="13"/>
        <v>0</v>
      </c>
      <c r="Q155" s="702"/>
    </row>
    <row r="156" spans="2:17">
      <c r="B156" s="357"/>
      <c r="C156" s="757">
        <f>IF(D96="","-",+C155+1)</f>
        <v>54</v>
      </c>
      <c r="D156" s="701">
        <f t="shared" si="14"/>
        <v>0</v>
      </c>
      <c r="E156" s="764">
        <f t="shared" si="15"/>
        <v>0</v>
      </c>
      <c r="F156" s="764">
        <f t="shared" si="8"/>
        <v>0</v>
      </c>
      <c r="G156" s="701">
        <f t="shared" si="9"/>
        <v>0</v>
      </c>
      <c r="H156" s="758">
        <f>+J97*G156+E156</f>
        <v>0</v>
      </c>
      <c r="I156" s="765">
        <f>+J98*G156+E156</f>
        <v>0</v>
      </c>
      <c r="J156" s="761">
        <f t="shared" si="10"/>
        <v>0</v>
      </c>
      <c r="K156" s="761"/>
      <c r="L156" s="766"/>
      <c r="M156" s="761">
        <f t="shared" si="11"/>
        <v>0</v>
      </c>
      <c r="N156" s="766"/>
      <c r="O156" s="761">
        <f t="shared" si="12"/>
        <v>0</v>
      </c>
      <c r="P156" s="761">
        <f t="shared" si="13"/>
        <v>0</v>
      </c>
      <c r="Q156" s="702"/>
    </row>
    <row r="157" spans="2:17">
      <c r="B157" s="357"/>
      <c r="C157" s="757">
        <f>IF(D96="","-",+C156+1)</f>
        <v>55</v>
      </c>
      <c r="D157" s="701">
        <f t="shared" si="14"/>
        <v>0</v>
      </c>
      <c r="E157" s="764">
        <f t="shared" si="15"/>
        <v>0</v>
      </c>
      <c r="F157" s="764">
        <f t="shared" si="8"/>
        <v>0</v>
      </c>
      <c r="G157" s="701">
        <f t="shared" si="9"/>
        <v>0</v>
      </c>
      <c r="H157" s="758">
        <f>+J97*G157+E157</f>
        <v>0</v>
      </c>
      <c r="I157" s="765">
        <f>+J98*G157+E157</f>
        <v>0</v>
      </c>
      <c r="J157" s="761">
        <f t="shared" si="10"/>
        <v>0</v>
      </c>
      <c r="K157" s="761"/>
      <c r="L157" s="766"/>
      <c r="M157" s="761">
        <f t="shared" si="11"/>
        <v>0</v>
      </c>
      <c r="N157" s="766"/>
      <c r="O157" s="761">
        <f t="shared" si="12"/>
        <v>0</v>
      </c>
      <c r="P157" s="761">
        <f t="shared" si="13"/>
        <v>0</v>
      </c>
      <c r="Q157" s="702"/>
    </row>
    <row r="158" spans="2:17">
      <c r="B158" s="357"/>
      <c r="C158" s="757">
        <f>IF(D96="","-",+C157+1)</f>
        <v>56</v>
      </c>
      <c r="D158" s="701">
        <f t="shared" si="14"/>
        <v>0</v>
      </c>
      <c r="E158" s="764">
        <f t="shared" si="15"/>
        <v>0</v>
      </c>
      <c r="F158" s="764">
        <f t="shared" si="8"/>
        <v>0</v>
      </c>
      <c r="G158" s="701">
        <f t="shared" si="9"/>
        <v>0</v>
      </c>
      <c r="H158" s="758">
        <f>+J97*G158+E158</f>
        <v>0</v>
      </c>
      <c r="I158" s="765">
        <f>+J98*G158+E158</f>
        <v>0</v>
      </c>
      <c r="J158" s="761">
        <f t="shared" si="10"/>
        <v>0</v>
      </c>
      <c r="K158" s="761"/>
      <c r="L158" s="766"/>
      <c r="M158" s="761">
        <f t="shared" si="11"/>
        <v>0</v>
      </c>
      <c r="N158" s="766"/>
      <c r="O158" s="761">
        <f t="shared" si="12"/>
        <v>0</v>
      </c>
      <c r="P158" s="761">
        <f t="shared" si="13"/>
        <v>0</v>
      </c>
      <c r="Q158" s="702"/>
    </row>
    <row r="159" spans="2:17">
      <c r="B159" s="357"/>
      <c r="C159" s="757">
        <f>IF(D96="","-",+C158+1)</f>
        <v>57</v>
      </c>
      <c r="D159" s="701">
        <f t="shared" si="14"/>
        <v>0</v>
      </c>
      <c r="E159" s="764">
        <f t="shared" si="15"/>
        <v>0</v>
      </c>
      <c r="F159" s="764">
        <f t="shared" si="8"/>
        <v>0</v>
      </c>
      <c r="G159" s="701">
        <f t="shared" si="9"/>
        <v>0</v>
      </c>
      <c r="H159" s="758">
        <f>+J97*G159+E159</f>
        <v>0</v>
      </c>
      <c r="I159" s="765">
        <f>+J98*G159+E159</f>
        <v>0</v>
      </c>
      <c r="J159" s="761">
        <f t="shared" si="10"/>
        <v>0</v>
      </c>
      <c r="K159" s="761"/>
      <c r="L159" s="766"/>
      <c r="M159" s="761">
        <f t="shared" si="11"/>
        <v>0</v>
      </c>
      <c r="N159" s="766"/>
      <c r="O159" s="761">
        <f t="shared" si="12"/>
        <v>0</v>
      </c>
      <c r="P159" s="761">
        <f t="shared" si="13"/>
        <v>0</v>
      </c>
      <c r="Q159" s="702"/>
    </row>
    <row r="160" spans="2:17">
      <c r="B160" s="357"/>
      <c r="C160" s="757">
        <f>IF(D96="","-",+C159+1)</f>
        <v>58</v>
      </c>
      <c r="D160" s="701">
        <f t="shared" si="14"/>
        <v>0</v>
      </c>
      <c r="E160" s="764">
        <f t="shared" si="15"/>
        <v>0</v>
      </c>
      <c r="F160" s="764">
        <f t="shared" si="8"/>
        <v>0</v>
      </c>
      <c r="G160" s="701">
        <f t="shared" si="9"/>
        <v>0</v>
      </c>
      <c r="H160" s="758">
        <f>+J97*G160+E160</f>
        <v>0</v>
      </c>
      <c r="I160" s="765">
        <f>+J98*G160+E160</f>
        <v>0</v>
      </c>
      <c r="J160" s="761">
        <f t="shared" si="10"/>
        <v>0</v>
      </c>
      <c r="K160" s="761"/>
      <c r="L160" s="766"/>
      <c r="M160" s="761">
        <f t="shared" si="11"/>
        <v>0</v>
      </c>
      <c r="N160" s="766"/>
      <c r="O160" s="761">
        <f t="shared" si="12"/>
        <v>0</v>
      </c>
      <c r="P160" s="761">
        <f t="shared" si="13"/>
        <v>0</v>
      </c>
      <c r="Q160" s="702"/>
    </row>
    <row r="161" spans="2:17" ht="13.5" thickBot="1">
      <c r="B161" s="357"/>
      <c r="C161" s="769">
        <f>IF(D96="","-",+C160+1)</f>
        <v>59</v>
      </c>
      <c r="D161" s="770">
        <f t="shared" si="14"/>
        <v>0</v>
      </c>
      <c r="E161" s="771">
        <f t="shared" si="15"/>
        <v>0</v>
      </c>
      <c r="F161" s="771">
        <f t="shared" si="8"/>
        <v>0</v>
      </c>
      <c r="G161" s="770">
        <f t="shared" si="9"/>
        <v>0</v>
      </c>
      <c r="H161" s="772">
        <f>+J97*G161+E161</f>
        <v>0</v>
      </c>
      <c r="I161" s="772">
        <f>+J98*G161+E161</f>
        <v>0</v>
      </c>
      <c r="J161" s="773">
        <f t="shared" si="10"/>
        <v>0</v>
      </c>
      <c r="K161" s="761"/>
      <c r="L161" s="774"/>
      <c r="M161" s="773">
        <f t="shared" si="11"/>
        <v>0</v>
      </c>
      <c r="N161" s="774"/>
      <c r="O161" s="773">
        <f t="shared" si="12"/>
        <v>0</v>
      </c>
      <c r="P161" s="773">
        <f t="shared" si="13"/>
        <v>0</v>
      </c>
      <c r="Q161" s="702"/>
    </row>
    <row r="162" spans="2:17">
      <c r="B162" s="357"/>
      <c r="C162" s="701" t="s">
        <v>290</v>
      </c>
      <c r="D162" s="697"/>
      <c r="E162" s="697">
        <f>SUM(E102:E161)</f>
        <v>0</v>
      </c>
      <c r="F162" s="697"/>
      <c r="G162" s="697"/>
      <c r="H162" s="697">
        <f>SUM(H102:H161)</f>
        <v>0</v>
      </c>
      <c r="I162" s="697">
        <f>SUM(I102:I161)</f>
        <v>0</v>
      </c>
      <c r="J162" s="697">
        <f>SUM(J102:J161)</f>
        <v>0</v>
      </c>
      <c r="K162" s="697"/>
      <c r="L162" s="697"/>
      <c r="M162" s="697"/>
      <c r="N162" s="697"/>
      <c r="O162" s="697"/>
      <c r="Q162" s="697"/>
    </row>
    <row r="163" spans="2:17">
      <c r="B163" s="357"/>
      <c r="D163" s="591"/>
      <c r="E163" s="570"/>
      <c r="F163" s="570"/>
      <c r="G163" s="570"/>
      <c r="H163" s="570"/>
      <c r="I163" s="674"/>
      <c r="J163" s="674"/>
      <c r="K163" s="697"/>
      <c r="L163" s="674"/>
      <c r="M163" s="674"/>
      <c r="N163" s="674"/>
      <c r="O163" s="674"/>
      <c r="Q163" s="697"/>
    </row>
    <row r="164" spans="2:17">
      <c r="B164" s="357"/>
      <c r="C164" s="570" t="s">
        <v>604</v>
      </c>
      <c r="D164" s="591"/>
      <c r="E164" s="570"/>
      <c r="F164" s="570"/>
      <c r="G164" s="570"/>
      <c r="H164" s="570"/>
      <c r="I164" s="674"/>
      <c r="J164" s="674"/>
      <c r="K164" s="697"/>
      <c r="L164" s="674"/>
      <c r="M164" s="674"/>
      <c r="N164" s="674"/>
      <c r="O164" s="674"/>
      <c r="Q164" s="697"/>
    </row>
    <row r="165" spans="2:17">
      <c r="B165" s="357"/>
      <c r="D165" s="591"/>
      <c r="E165" s="570"/>
      <c r="F165" s="570"/>
      <c r="G165" s="570"/>
      <c r="H165" s="570"/>
      <c r="I165" s="674"/>
      <c r="J165" s="674"/>
      <c r="K165" s="697"/>
      <c r="L165" s="674"/>
      <c r="M165" s="674"/>
      <c r="N165" s="674"/>
      <c r="O165" s="674"/>
      <c r="Q165" s="697"/>
    </row>
    <row r="166" spans="2:17">
      <c r="B166" s="357"/>
      <c r="C166" s="604" t="s">
        <v>605</v>
      </c>
      <c r="D166" s="701"/>
      <c r="E166" s="701"/>
      <c r="F166" s="701"/>
      <c r="G166" s="701"/>
      <c r="H166" s="697"/>
      <c r="I166" s="697"/>
      <c r="J166" s="702"/>
      <c r="K166" s="702"/>
      <c r="L166" s="702"/>
      <c r="M166" s="702"/>
      <c r="N166" s="702"/>
      <c r="O166" s="702"/>
      <c r="Q166" s="702"/>
    </row>
    <row r="167" spans="2:17">
      <c r="B167" s="357"/>
      <c r="C167" s="604" t="s">
        <v>478</v>
      </c>
      <c r="D167" s="701"/>
      <c r="E167" s="701"/>
      <c r="F167" s="701"/>
      <c r="G167" s="701"/>
      <c r="H167" s="697"/>
      <c r="I167" s="697"/>
      <c r="J167" s="702"/>
      <c r="K167" s="702"/>
      <c r="L167" s="702"/>
      <c r="M167" s="702"/>
      <c r="N167" s="702"/>
      <c r="O167" s="702"/>
      <c r="Q167" s="702"/>
    </row>
    <row r="168" spans="2:17">
      <c r="B168" s="357"/>
      <c r="C168" s="604" t="s">
        <v>291</v>
      </c>
      <c r="D168" s="701"/>
      <c r="E168" s="701"/>
      <c r="F168" s="701"/>
      <c r="G168" s="701"/>
      <c r="H168" s="697"/>
      <c r="I168" s="697"/>
      <c r="J168" s="702"/>
      <c r="K168" s="702"/>
      <c r="L168" s="702"/>
      <c r="M168" s="702"/>
      <c r="N168" s="702"/>
      <c r="O168" s="702"/>
      <c r="Q168" s="702"/>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5"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D263" sqref="D263"/>
    </sheetView>
  </sheetViews>
  <sheetFormatPr defaultColWidth="9.140625"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3" bestFit="1" customWidth="1"/>
    <col min="9" max="16384" width="9.140625" style="186"/>
  </cols>
  <sheetData>
    <row r="1" spans="1:30" ht="15.75">
      <c r="A1" s="943" t="s">
        <v>116</v>
      </c>
    </row>
    <row r="2" spans="1:30" ht="15.75">
      <c r="A2" s="943" t="s">
        <v>116</v>
      </c>
    </row>
    <row r="3" spans="1:30" ht="15">
      <c r="B3" s="1496" t="s">
        <v>389</v>
      </c>
      <c r="C3" s="1496"/>
      <c r="D3" s="1496"/>
      <c r="E3" s="1496"/>
      <c r="F3" s="1496"/>
      <c r="G3" s="40"/>
      <c r="H3" s="259"/>
      <c r="I3" s="40"/>
      <c r="J3" s="40"/>
      <c r="K3" s="40"/>
      <c r="L3" s="40"/>
      <c r="M3" s="40"/>
      <c r="N3" s="40"/>
      <c r="O3" s="40"/>
      <c r="P3" s="40"/>
    </row>
    <row r="4" spans="1:30" ht="15">
      <c r="B4" s="1497" t="str">
        <f>"Cost of Service Formula Rate Using "&amp;TCOS!L4&amp;" FF1 Balances"</f>
        <v>Cost of Service Formula Rate Using 2020 FF1 Balances</v>
      </c>
      <c r="C4" s="1497"/>
      <c r="D4" s="1497"/>
      <c r="E4" s="1497"/>
      <c r="F4" s="1497"/>
      <c r="G4" s="98"/>
      <c r="H4" s="260"/>
      <c r="I4" s="98"/>
      <c r="J4" s="98"/>
      <c r="K4" s="98"/>
      <c r="L4" s="98"/>
      <c r="M4" s="98"/>
      <c r="N4" s="98"/>
      <c r="O4" s="98"/>
      <c r="P4" s="98"/>
    </row>
    <row r="5" spans="1:30" ht="18">
      <c r="B5" s="1496" t="s">
        <v>549</v>
      </c>
      <c r="C5" s="1496"/>
      <c r="D5" s="1496"/>
      <c r="E5" s="1496"/>
      <c r="F5" s="1496"/>
      <c r="G5" s="156"/>
      <c r="H5" s="261"/>
      <c r="I5" s="156"/>
      <c r="J5" s="156"/>
      <c r="K5" s="156"/>
    </row>
    <row r="6" spans="1:30" ht="18">
      <c r="B6" s="1508" t="str">
        <f>+TCOS!F9</f>
        <v>KENTUCKY POWER COMPANY</v>
      </c>
      <c r="C6" s="1496"/>
      <c r="D6" s="1496"/>
      <c r="E6" s="1496"/>
      <c r="F6" s="1496"/>
      <c r="G6" s="167"/>
      <c r="H6" s="262"/>
      <c r="I6" s="167"/>
      <c r="J6" s="167"/>
      <c r="K6" s="167"/>
    </row>
    <row r="8" spans="1:30" ht="18.75" customHeight="1">
      <c r="B8" s="19"/>
      <c r="C8" s="146"/>
      <c r="D8" s="188"/>
    </row>
    <row r="10" spans="1:30" ht="18">
      <c r="B10" s="8"/>
      <c r="C10" s="8"/>
      <c r="D10" s="8"/>
      <c r="E10" s="8"/>
      <c r="F10" s="8"/>
      <c r="R10" s="155"/>
      <c r="S10" s="155"/>
      <c r="T10" s="155"/>
      <c r="U10" s="155"/>
      <c r="V10" s="155"/>
      <c r="W10" s="155"/>
      <c r="X10" s="155"/>
      <c r="Y10" s="155"/>
      <c r="Z10" s="155"/>
      <c r="AA10" s="155"/>
      <c r="AB10" s="200"/>
      <c r="AC10" s="200"/>
      <c r="AD10" s="200"/>
    </row>
    <row r="11" spans="1:30">
      <c r="A11" s="917"/>
      <c r="B11" s="187"/>
      <c r="C11" s="188"/>
    </row>
    <row r="12" spans="1:30">
      <c r="A12" s="239"/>
      <c r="B12" s="12"/>
      <c r="C12" s="12"/>
      <c r="D12" s="12"/>
      <c r="E12" s="12"/>
      <c r="F12" s="12"/>
      <c r="G12" s="11"/>
    </row>
    <row r="13" spans="1:30">
      <c r="A13" s="241"/>
      <c r="B13" s="12"/>
      <c r="C13" s="12"/>
      <c r="D13" s="12"/>
      <c r="E13" s="12"/>
      <c r="F13" s="12"/>
      <c r="G13" s="11"/>
    </row>
    <row r="14" spans="1:30">
      <c r="A14" s="281"/>
      <c r="B14" s="12"/>
      <c r="C14" s="12"/>
      <c r="D14" s="12"/>
      <c r="E14" s="12"/>
      <c r="F14" s="12"/>
      <c r="H14" s="186"/>
    </row>
    <row r="15" spans="1:30">
      <c r="A15" s="281"/>
      <c r="B15" s="12"/>
      <c r="C15" s="12"/>
      <c r="D15" s="12"/>
      <c r="E15" s="12"/>
      <c r="F15" s="12"/>
      <c r="H15" s="186"/>
    </row>
    <row r="16" spans="1:30">
      <c r="A16" s="281"/>
      <c r="B16" s="12"/>
      <c r="C16" s="12"/>
      <c r="D16" s="12"/>
      <c r="E16" s="12"/>
      <c r="F16" s="12"/>
      <c r="H16" s="186"/>
    </row>
    <row r="17" spans="1:8" ht="12.75" customHeight="1">
      <c r="A17" s="281"/>
      <c r="B17" s="12"/>
      <c r="C17" s="12"/>
      <c r="D17" s="12"/>
      <c r="E17" s="12"/>
      <c r="F17" s="12"/>
      <c r="H17" s="186"/>
    </row>
    <row r="18" spans="1:8">
      <c r="A18" s="281"/>
      <c r="B18" s="12"/>
      <c r="C18" s="12"/>
      <c r="D18" s="12"/>
      <c r="E18" s="12"/>
      <c r="F18" s="12"/>
      <c r="H18" s="186"/>
    </row>
    <row r="19" spans="1:8">
      <c r="A19" s="281"/>
      <c r="B19" s="12"/>
      <c r="C19" s="12"/>
      <c r="D19" s="12"/>
      <c r="E19" s="12"/>
      <c r="F19" s="12"/>
      <c r="H19" s="186"/>
    </row>
    <row r="20" spans="1:8">
      <c r="A20" s="281"/>
      <c r="B20" s="12"/>
      <c r="C20" s="12"/>
      <c r="D20" s="12"/>
      <c r="E20" s="12"/>
      <c r="F20" s="12"/>
      <c r="H20" s="186"/>
    </row>
    <row r="21" spans="1:8">
      <c r="A21" s="281"/>
      <c r="B21" s="12"/>
      <c r="C21" s="12"/>
      <c r="D21" s="12"/>
      <c r="E21" s="12"/>
      <c r="F21" s="12"/>
      <c r="H21" s="186"/>
    </row>
    <row r="22" spans="1:8">
      <c r="A22" s="281"/>
      <c r="B22" s="12"/>
      <c r="C22" s="12"/>
      <c r="D22" s="12"/>
      <c r="E22" s="12"/>
      <c r="F22" s="12"/>
      <c r="H22" s="186"/>
    </row>
    <row r="23" spans="1:8" ht="12.75" customHeight="1">
      <c r="A23" s="281"/>
      <c r="B23" s="12"/>
      <c r="C23" s="12"/>
      <c r="D23" s="12"/>
      <c r="E23" s="12"/>
      <c r="F23" s="12"/>
      <c r="H23" s="186"/>
    </row>
    <row r="24" spans="1:8" ht="12.75" customHeight="1">
      <c r="A24" s="281"/>
      <c r="B24" s="12"/>
      <c r="C24" s="12"/>
      <c r="D24" s="12"/>
      <c r="E24" s="12"/>
      <c r="F24" s="12"/>
      <c r="H24" s="186"/>
    </row>
    <row r="25" spans="1:8" ht="12.75" customHeight="1">
      <c r="A25" s="281"/>
      <c r="B25" s="12"/>
      <c r="C25" s="12"/>
      <c r="D25" s="12"/>
      <c r="E25" s="12"/>
      <c r="F25" s="12"/>
      <c r="H25" s="186"/>
    </row>
    <row r="26" spans="1:8" ht="12.75" customHeight="1">
      <c r="A26" s="281"/>
      <c r="B26" s="12"/>
      <c r="C26" s="12"/>
      <c r="D26" s="12"/>
      <c r="E26" s="12"/>
      <c r="F26" s="12"/>
      <c r="H26" s="186"/>
    </row>
    <row r="27" spans="1:8" ht="12.75" customHeight="1">
      <c r="A27" s="281"/>
      <c r="B27" s="12"/>
      <c r="C27" s="12"/>
      <c r="D27" s="12"/>
      <c r="E27" s="12"/>
      <c r="F27" s="12"/>
      <c r="H27" s="186"/>
    </row>
    <row r="28" spans="1:8" ht="12.75" customHeight="1">
      <c r="A28" s="281"/>
      <c r="B28" s="12"/>
      <c r="C28" s="12"/>
      <c r="D28" s="12"/>
      <c r="E28" s="12"/>
      <c r="F28" s="12"/>
      <c r="H28" s="186"/>
    </row>
    <row r="29" spans="1:8" ht="12.75" customHeight="1">
      <c r="A29" s="281"/>
      <c r="B29" s="12"/>
      <c r="C29" s="12"/>
      <c r="D29" s="12"/>
      <c r="E29" s="12"/>
      <c r="F29" s="12"/>
      <c r="H29" s="186"/>
    </row>
    <row r="30" spans="1:8" ht="12.75" customHeight="1">
      <c r="A30" s="281"/>
      <c r="B30" s="12"/>
      <c r="C30" s="12"/>
      <c r="D30" s="12"/>
      <c r="E30" s="12"/>
      <c r="F30" s="12"/>
      <c r="H30" s="186"/>
    </row>
    <row r="31" spans="1:8" ht="12.75" customHeight="1">
      <c r="A31" s="281"/>
      <c r="B31" s="12"/>
      <c r="C31" s="12"/>
      <c r="D31" s="12"/>
      <c r="E31" s="12"/>
      <c r="F31" s="12"/>
      <c r="H31" s="186"/>
    </row>
    <row r="32" spans="1:8" ht="12.75" customHeight="1">
      <c r="A32" s="281"/>
      <c r="B32" s="12"/>
      <c r="C32" s="12"/>
      <c r="D32" s="12"/>
      <c r="E32" s="12"/>
      <c r="F32" s="12"/>
      <c r="H32" s="186"/>
    </row>
    <row r="33" spans="1:8" ht="12.75" customHeight="1">
      <c r="A33" s="281"/>
      <c r="B33" s="12"/>
      <c r="C33" s="12"/>
      <c r="D33" s="12"/>
      <c r="E33" s="12"/>
      <c r="F33" s="12"/>
      <c r="H33" s="186"/>
    </row>
    <row r="34" spans="1:8" ht="12.75" customHeight="1">
      <c r="A34" s="281"/>
      <c r="B34" s="12"/>
      <c r="C34" s="12"/>
      <c r="D34" s="12"/>
      <c r="E34" s="12"/>
      <c r="F34" s="12"/>
      <c r="H34" s="186"/>
    </row>
    <row r="35" spans="1:8" ht="12.75" customHeight="1">
      <c r="A35" s="281"/>
      <c r="B35" s="12"/>
      <c r="C35" s="12"/>
      <c r="D35" s="12"/>
      <c r="E35" s="12"/>
      <c r="F35" s="12"/>
      <c r="H35" s="186"/>
    </row>
    <row r="36" spans="1:8" ht="12.75" customHeight="1">
      <c r="A36" s="281"/>
      <c r="B36" s="12"/>
      <c r="C36" s="12"/>
      <c r="D36" s="12"/>
      <c r="E36" s="12"/>
      <c r="F36" s="12"/>
      <c r="H36" s="186"/>
    </row>
    <row r="37" spans="1:8" ht="12.75" customHeight="1">
      <c r="A37" s="281"/>
      <c r="B37" s="12"/>
      <c r="C37" s="12"/>
      <c r="D37" s="12"/>
      <c r="E37" s="12"/>
      <c r="F37" s="12"/>
      <c r="H37" s="186"/>
    </row>
    <row r="38" spans="1:8" ht="12.75" customHeight="1">
      <c r="A38" s="281"/>
      <c r="B38" s="12"/>
      <c r="C38" s="12"/>
      <c r="D38" s="12"/>
      <c r="E38" s="12"/>
      <c r="F38" s="12"/>
      <c r="H38" s="186"/>
    </row>
    <row r="39" spans="1:8" ht="12.75" customHeight="1">
      <c r="A39" s="281"/>
      <c r="B39" s="12"/>
      <c r="C39" s="12"/>
      <c r="D39" s="12"/>
      <c r="E39" s="12"/>
      <c r="F39" s="12"/>
      <c r="H39" s="186"/>
    </row>
    <row r="40" spans="1:8" ht="12.75" customHeight="1">
      <c r="A40" s="281"/>
      <c r="B40" s="12"/>
      <c r="C40" s="12"/>
      <c r="D40" s="12"/>
      <c r="E40" s="12"/>
      <c r="F40" s="12"/>
      <c r="H40" s="186"/>
    </row>
    <row r="41" spans="1:8" ht="12.75" customHeight="1">
      <c r="A41" s="281"/>
      <c r="B41" s="12"/>
      <c r="C41" s="12"/>
      <c r="D41" s="12"/>
      <c r="E41" s="12"/>
      <c r="F41" s="12"/>
      <c r="H41" s="186"/>
    </row>
    <row r="42" spans="1:8" ht="12.75" customHeight="1">
      <c r="A42" s="281"/>
      <c r="B42" s="12"/>
      <c r="C42" s="12"/>
      <c r="D42" s="12"/>
      <c r="E42" s="12"/>
      <c r="F42" s="12"/>
      <c r="H42" s="186"/>
    </row>
    <row r="43" spans="1:8" ht="12.6" customHeight="1">
      <c r="A43" s="281"/>
      <c r="B43" s="12"/>
      <c r="C43" s="12"/>
      <c r="D43" s="12"/>
      <c r="E43" s="12"/>
      <c r="F43" s="12"/>
      <c r="H43" s="186"/>
    </row>
    <row r="44" spans="1:8" ht="12.75" customHeight="1">
      <c r="A44" s="281"/>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BreakPreview" topLeftCell="A61" zoomScale="85" zoomScaleNormal="90" zoomScaleSheetLayoutView="85" zoomScalePageLayoutView="85" workbookViewId="0">
      <selection activeCell="D263" sqref="D263"/>
    </sheetView>
  </sheetViews>
  <sheetFormatPr defaultColWidth="11.42578125" defaultRowHeight="12.75"/>
  <cols>
    <col min="1" max="1" width="10.42578125" style="1022" customWidth="1"/>
    <col min="2" max="2" width="52.42578125" style="1003" customWidth="1"/>
    <col min="3" max="7" width="20.42578125" style="1003" customWidth="1"/>
    <col min="8" max="8" width="23" style="1003" customWidth="1"/>
    <col min="9" max="11" width="20.42578125" style="1003" customWidth="1"/>
    <col min="12" max="12" width="20" style="1003" customWidth="1"/>
    <col min="13" max="14" width="15.140625" style="1003" customWidth="1"/>
    <col min="15" max="16384" width="11.42578125" style="1003"/>
  </cols>
  <sheetData>
    <row r="1" spans="1:12" ht="15">
      <c r="A1" s="1496" t="s">
        <v>389</v>
      </c>
      <c r="B1" s="1496"/>
      <c r="C1" s="1496"/>
      <c r="D1" s="1496"/>
      <c r="E1" s="1496"/>
      <c r="F1" s="1496"/>
      <c r="G1" s="1496"/>
      <c r="H1" s="951"/>
    </row>
    <row r="2" spans="1:12" ht="15">
      <c r="A2" s="1497" t="str">
        <f>"Cost of Service Formula Rate Using Actual/Projected FF1 Balances"</f>
        <v>Cost of Service Formula Rate Using Actual/Projected FF1 Balances</v>
      </c>
      <c r="B2" s="1497"/>
      <c r="C2" s="1497"/>
      <c r="D2" s="1497"/>
      <c r="E2" s="1497"/>
      <c r="F2" s="1497"/>
      <c r="G2" s="1497"/>
      <c r="H2" s="1004"/>
      <c r="I2" s="1004"/>
      <c r="J2" s="1004"/>
      <c r="L2" s="1005"/>
    </row>
    <row r="3" spans="1:12" ht="15">
      <c r="A3" s="1497" t="s">
        <v>679</v>
      </c>
      <c r="B3" s="1497"/>
      <c r="C3" s="1497"/>
      <c r="D3" s="1497"/>
      <c r="E3" s="1497"/>
      <c r="F3" s="1497"/>
      <c r="G3" s="1497"/>
      <c r="H3" s="1004"/>
      <c r="I3" s="1004"/>
      <c r="J3" s="1004"/>
    </row>
    <row r="4" spans="1:12" ht="15">
      <c r="A4" s="1504" t="str">
        <f>TCOS!F9</f>
        <v>KENTUCKY POWER COMPANY</v>
      </c>
      <c r="B4" s="1504"/>
      <c r="C4" s="1504"/>
      <c r="D4" s="1504"/>
      <c r="E4" s="1504"/>
      <c r="F4" s="1504"/>
      <c r="G4" s="1504"/>
      <c r="H4" s="1004"/>
      <c r="I4" s="1004"/>
      <c r="J4" s="1004"/>
    </row>
    <row r="5" spans="1:12">
      <c r="A5" s="1004"/>
      <c r="B5" s="1006"/>
      <c r="C5" s="1006"/>
      <c r="D5" s="1006"/>
      <c r="E5" s="1007"/>
      <c r="F5" s="1008"/>
      <c r="H5"/>
      <c r="I5"/>
      <c r="J5"/>
      <c r="K5"/>
      <c r="L5"/>
    </row>
    <row r="6" spans="1:12" ht="12.75" customHeight="1">
      <c r="A6" s="951"/>
      <c r="B6" s="986"/>
      <c r="C6" s="1498" t="s">
        <v>6</v>
      </c>
      <c r="D6" s="1499"/>
      <c r="E6" s="1499"/>
      <c r="F6" s="1499"/>
      <c r="G6" s="1500"/>
      <c r="H6" s="6"/>
      <c r="I6"/>
      <c r="J6"/>
      <c r="K6"/>
      <c r="L6"/>
    </row>
    <row r="7" spans="1:12" s="1010" customFormat="1" ht="38.25">
      <c r="A7" s="985" t="s">
        <v>653</v>
      </c>
      <c r="B7" s="984" t="s">
        <v>652</v>
      </c>
      <c r="C7" s="967" t="s">
        <v>680</v>
      </c>
      <c r="D7" s="966" t="s">
        <v>370</v>
      </c>
      <c r="E7" s="966" t="s">
        <v>681</v>
      </c>
      <c r="F7" s="966" t="s">
        <v>682</v>
      </c>
      <c r="G7" s="1009" t="s">
        <v>6</v>
      </c>
      <c r="H7" s="6"/>
      <c r="I7"/>
      <c r="J7"/>
      <c r="K7"/>
      <c r="L7"/>
    </row>
    <row r="8" spans="1:12" s="1012" customFormat="1">
      <c r="A8" s="956"/>
      <c r="B8" s="963" t="s">
        <v>647</v>
      </c>
      <c r="C8" s="964" t="s">
        <v>646</v>
      </c>
      <c r="D8" s="962" t="s">
        <v>645</v>
      </c>
      <c r="E8" s="962" t="s">
        <v>644</v>
      </c>
      <c r="F8" s="962" t="s">
        <v>643</v>
      </c>
      <c r="G8" s="1011" t="s">
        <v>683</v>
      </c>
      <c r="H8" s="6"/>
      <c r="I8"/>
      <c r="J8"/>
      <c r="K8"/>
      <c r="L8"/>
    </row>
    <row r="9" spans="1:12" s="1012" customFormat="1" ht="44.25" customHeight="1">
      <c r="A9" s="956"/>
      <c r="B9" s="963" t="s">
        <v>642</v>
      </c>
      <c r="C9" s="1013" t="s">
        <v>684</v>
      </c>
      <c r="D9" s="981" t="s">
        <v>685</v>
      </c>
      <c r="E9" s="981" t="s">
        <v>686</v>
      </c>
      <c r="F9" s="981" t="s">
        <v>687</v>
      </c>
      <c r="G9" s="1014"/>
      <c r="H9" s="6"/>
      <c r="I9"/>
      <c r="J9"/>
      <c r="K9"/>
      <c r="L9"/>
    </row>
    <row r="10" spans="1:12">
      <c r="A10" s="956">
        <v>1</v>
      </c>
      <c r="B10" s="979" t="s">
        <v>640</v>
      </c>
      <c r="C10" s="1313">
        <v>782180357.50500035</v>
      </c>
      <c r="D10" s="1313">
        <v>0</v>
      </c>
      <c r="E10" s="1313">
        <v>0</v>
      </c>
      <c r="F10" s="1313">
        <v>789723.50000000012</v>
      </c>
      <c r="G10" s="1015">
        <f t="shared" ref="G10:G22" si="0">+C10-D10-E10-F10</f>
        <v>781390634.00500035</v>
      </c>
      <c r="H10" s="6"/>
      <c r="I10"/>
      <c r="J10"/>
      <c r="K10"/>
      <c r="L10"/>
    </row>
    <row r="11" spans="1:12">
      <c r="A11" s="956">
        <f t="shared" ref="A11:A23" si="1">+A10+1</f>
        <v>2</v>
      </c>
      <c r="B11" s="979" t="s">
        <v>187</v>
      </c>
      <c r="C11" s="1313">
        <v>789318604.84199977</v>
      </c>
      <c r="D11" s="1313">
        <v>0</v>
      </c>
      <c r="E11" s="1313">
        <v>0</v>
      </c>
      <c r="F11" s="1313">
        <v>789723.50000000012</v>
      </c>
      <c r="G11" s="1015">
        <f t="shared" si="0"/>
        <v>788528881.34199977</v>
      </c>
      <c r="H11" s="6"/>
      <c r="I11"/>
      <c r="J11"/>
      <c r="K11"/>
      <c r="L11"/>
    </row>
    <row r="12" spans="1:12">
      <c r="A12" s="956">
        <f t="shared" si="1"/>
        <v>3</v>
      </c>
      <c r="B12" s="978" t="s">
        <v>561</v>
      </c>
      <c r="C12" s="1313">
        <v>796964838.69499993</v>
      </c>
      <c r="D12" s="1313">
        <v>0</v>
      </c>
      <c r="E12" s="1313">
        <v>0</v>
      </c>
      <c r="F12" s="1313">
        <v>789723.50000000012</v>
      </c>
      <c r="G12" s="1015">
        <f t="shared" si="0"/>
        <v>796175115.19499993</v>
      </c>
      <c r="H12" s="6"/>
      <c r="I12"/>
      <c r="J12"/>
      <c r="K12"/>
      <c r="L12"/>
    </row>
    <row r="13" spans="1:12">
      <c r="A13" s="956">
        <f t="shared" si="1"/>
        <v>4</v>
      </c>
      <c r="B13" s="978" t="s">
        <v>639</v>
      </c>
      <c r="C13" s="1313">
        <v>801037749.83300006</v>
      </c>
      <c r="D13" s="1313">
        <v>0</v>
      </c>
      <c r="E13" s="1313">
        <v>0</v>
      </c>
      <c r="F13" s="1313">
        <v>763082.02000000014</v>
      </c>
      <c r="G13" s="1015">
        <f t="shared" si="0"/>
        <v>800274667.81300008</v>
      </c>
      <c r="H13" s="6"/>
      <c r="I13"/>
      <c r="J13"/>
      <c r="K13"/>
      <c r="L13"/>
    </row>
    <row r="14" spans="1:12">
      <c r="A14" s="956">
        <f t="shared" si="1"/>
        <v>5</v>
      </c>
      <c r="B14" s="978" t="s">
        <v>189</v>
      </c>
      <c r="C14" s="1313">
        <v>794774022.95499992</v>
      </c>
      <c r="D14" s="1313">
        <v>0</v>
      </c>
      <c r="E14" s="1313">
        <v>0</v>
      </c>
      <c r="F14" s="1313">
        <v>763082.02000000014</v>
      </c>
      <c r="G14" s="1015">
        <f t="shared" si="0"/>
        <v>794010940.93499994</v>
      </c>
      <c r="H14" s="6"/>
      <c r="I14"/>
      <c r="J14"/>
      <c r="K14"/>
      <c r="L14"/>
    </row>
    <row r="15" spans="1:12">
      <c r="A15" s="956">
        <f t="shared" si="1"/>
        <v>6</v>
      </c>
      <c r="B15" s="978" t="s">
        <v>190</v>
      </c>
      <c r="C15" s="1313">
        <v>797444830.96199989</v>
      </c>
      <c r="D15" s="1313">
        <v>0</v>
      </c>
      <c r="E15" s="1313">
        <v>0</v>
      </c>
      <c r="F15" s="1313">
        <v>763082.02000000014</v>
      </c>
      <c r="G15" s="1015">
        <f t="shared" si="0"/>
        <v>796681748.94199991</v>
      </c>
      <c r="H15" s="6"/>
      <c r="I15"/>
      <c r="J15"/>
      <c r="K15"/>
      <c r="L15"/>
    </row>
    <row r="16" spans="1:12">
      <c r="A16" s="956">
        <f t="shared" si="1"/>
        <v>7</v>
      </c>
      <c r="B16" s="978" t="s">
        <v>384</v>
      </c>
      <c r="C16" s="1313">
        <v>800075529.55999994</v>
      </c>
      <c r="D16" s="1313">
        <v>0</v>
      </c>
      <c r="E16" s="1313">
        <v>0</v>
      </c>
      <c r="F16" s="1313">
        <v>736440.54000000015</v>
      </c>
      <c r="G16" s="1015">
        <f t="shared" si="0"/>
        <v>799339089.01999998</v>
      </c>
      <c r="H16" s="6"/>
      <c r="I16"/>
      <c r="J16"/>
      <c r="K16"/>
      <c r="L16"/>
    </row>
    <row r="17" spans="1:12">
      <c r="A17" s="956">
        <f t="shared" si="1"/>
        <v>8</v>
      </c>
      <c r="B17" s="978" t="s">
        <v>191</v>
      </c>
      <c r="C17" s="1313">
        <v>807188134.06799972</v>
      </c>
      <c r="D17" s="1313">
        <v>0</v>
      </c>
      <c r="E17" s="1313">
        <v>0</v>
      </c>
      <c r="F17" s="1313">
        <v>736440.54000000015</v>
      </c>
      <c r="G17" s="1015">
        <f t="shared" si="0"/>
        <v>806451693.52799976</v>
      </c>
      <c r="H17" s="6"/>
      <c r="I17"/>
      <c r="J17"/>
      <c r="K17"/>
      <c r="L17"/>
    </row>
    <row r="18" spans="1:12">
      <c r="A18" s="956">
        <f t="shared" si="1"/>
        <v>9</v>
      </c>
      <c r="B18" s="978" t="s">
        <v>638</v>
      </c>
      <c r="C18" s="1313">
        <v>813042112.48099995</v>
      </c>
      <c r="D18" s="1313">
        <v>0</v>
      </c>
      <c r="E18" s="1313">
        <v>0</v>
      </c>
      <c r="F18" s="1313">
        <v>736440.54000000015</v>
      </c>
      <c r="G18" s="1015">
        <f t="shared" si="0"/>
        <v>812305671.94099998</v>
      </c>
      <c r="H18" s="6"/>
      <c r="I18"/>
      <c r="J18"/>
      <c r="K18"/>
      <c r="L18"/>
    </row>
    <row r="19" spans="1:12">
      <c r="A19" s="956">
        <f t="shared" si="1"/>
        <v>10</v>
      </c>
      <c r="B19" s="978" t="s">
        <v>194</v>
      </c>
      <c r="C19" s="1313">
        <v>810129723.14299989</v>
      </c>
      <c r="D19" s="1313">
        <v>0</v>
      </c>
      <c r="E19" s="1313">
        <v>0</v>
      </c>
      <c r="F19" s="1313">
        <v>709799.05999999994</v>
      </c>
      <c r="G19" s="1015">
        <f t="shared" si="0"/>
        <v>809419924.08299994</v>
      </c>
      <c r="H19" s="6"/>
      <c r="I19"/>
      <c r="J19"/>
      <c r="K19"/>
      <c r="L19"/>
    </row>
    <row r="20" spans="1:12">
      <c r="A20" s="956">
        <f t="shared" si="1"/>
        <v>11</v>
      </c>
      <c r="B20" s="978" t="s">
        <v>562</v>
      </c>
      <c r="C20" s="1313">
        <v>807687834.66300011</v>
      </c>
      <c r="D20" s="1313">
        <v>0</v>
      </c>
      <c r="E20" s="1313">
        <v>0</v>
      </c>
      <c r="F20" s="1313">
        <v>709799.05999999994</v>
      </c>
      <c r="G20" s="1015">
        <f t="shared" si="0"/>
        <v>806978035.60300016</v>
      </c>
      <c r="H20" s="6"/>
      <c r="I20"/>
      <c r="J20"/>
      <c r="K20"/>
      <c r="L20"/>
    </row>
    <row r="21" spans="1:12">
      <c r="A21" s="956">
        <f t="shared" si="1"/>
        <v>12</v>
      </c>
      <c r="B21" s="978" t="s">
        <v>563</v>
      </c>
      <c r="C21" s="1313">
        <v>813046348.30799985</v>
      </c>
      <c r="D21" s="1313">
        <v>0</v>
      </c>
      <c r="E21" s="1313">
        <v>0</v>
      </c>
      <c r="F21" s="1313">
        <v>709799.05999999994</v>
      </c>
      <c r="G21" s="1015">
        <f t="shared" si="0"/>
        <v>812336549.24799991</v>
      </c>
      <c r="H21" s="6"/>
      <c r="I21"/>
      <c r="J21"/>
      <c r="K21"/>
      <c r="L21"/>
    </row>
    <row r="22" spans="1:12">
      <c r="A22" s="954">
        <f t="shared" si="1"/>
        <v>13</v>
      </c>
      <c r="B22" s="977" t="s">
        <v>637</v>
      </c>
      <c r="C22" s="1313">
        <v>823334068.58800018</v>
      </c>
      <c r="D22" s="1313">
        <v>0</v>
      </c>
      <c r="E22" s="1313">
        <v>0</v>
      </c>
      <c r="F22" s="1313">
        <v>878394.68</v>
      </c>
      <c r="G22" s="1015">
        <f t="shared" si="0"/>
        <v>822455673.90800023</v>
      </c>
      <c r="H22" s="6"/>
      <c r="I22"/>
      <c r="J22"/>
      <c r="K22"/>
      <c r="L22"/>
    </row>
    <row r="23" spans="1:12" ht="13.5" thickBot="1">
      <c r="A23" s="976">
        <f t="shared" si="1"/>
        <v>14</v>
      </c>
      <c r="B23" s="975" t="s">
        <v>871</v>
      </c>
      <c r="C23" s="1453">
        <f>SUM(C10:C22)/13</f>
        <v>802786473.50792301</v>
      </c>
      <c r="D23" s="1454">
        <f>SUM(D10:D22)/13</f>
        <v>0</v>
      </c>
      <c r="E23" s="1454">
        <f>SUM(E10:E22)/13</f>
        <v>0</v>
      </c>
      <c r="F23" s="1454">
        <f>SUM(F10:F22)/13</f>
        <v>759656.15692307684</v>
      </c>
      <c r="G23" s="1016">
        <f>SUM(G10:G22)/13</f>
        <v>802026817.35100007</v>
      </c>
      <c r="H23" s="6"/>
      <c r="I23"/>
      <c r="J23"/>
      <c r="K23"/>
      <c r="L23"/>
    </row>
    <row r="24" spans="1:12" ht="13.5" thickTop="1">
      <c r="A24" s="951"/>
      <c r="B24" s="950"/>
      <c r="C24" s="974"/>
      <c r="D24" s="948"/>
      <c r="E24" s="948"/>
      <c r="F24" s="948"/>
      <c r="G24" s="974"/>
      <c r="H24" s="974"/>
      <c r="I24"/>
      <c r="J24"/>
      <c r="K24"/>
      <c r="L24"/>
    </row>
    <row r="25" spans="1:12" ht="12.75" customHeight="1">
      <c r="A25" s="951"/>
      <c r="B25" s="986"/>
      <c r="C25" s="1559" t="s">
        <v>688</v>
      </c>
      <c r="D25" s="1560"/>
      <c r="E25" s="1560"/>
      <c r="F25" s="1560"/>
      <c r="G25" s="1560"/>
      <c r="H25" s="1561"/>
      <c r="I25"/>
      <c r="J25"/>
      <c r="K25"/>
      <c r="L25"/>
    </row>
    <row r="26" spans="1:12" s="1010" customFormat="1" ht="38.25">
      <c r="A26" s="985" t="s">
        <v>653</v>
      </c>
      <c r="B26" s="984" t="s">
        <v>652</v>
      </c>
      <c r="C26" s="967" t="s">
        <v>700</v>
      </c>
      <c r="D26" s="966" t="s">
        <v>699</v>
      </c>
      <c r="E26" s="966" t="s">
        <v>698</v>
      </c>
      <c r="F26" s="966" t="s">
        <v>697</v>
      </c>
      <c r="G26" s="966" t="s">
        <v>689</v>
      </c>
      <c r="H26" s="1009" t="s">
        <v>633</v>
      </c>
      <c r="I26"/>
      <c r="J26"/>
      <c r="K26"/>
      <c r="L26"/>
    </row>
    <row r="27" spans="1:12" s="1012" customFormat="1">
      <c r="A27" s="956"/>
      <c r="B27" s="963" t="s">
        <v>647</v>
      </c>
      <c r="C27" s="964" t="s">
        <v>646</v>
      </c>
      <c r="D27" s="962" t="s">
        <v>645</v>
      </c>
      <c r="E27" s="962" t="s">
        <v>644</v>
      </c>
      <c r="F27" s="962" t="s">
        <v>643</v>
      </c>
      <c r="G27" s="962" t="s">
        <v>665</v>
      </c>
      <c r="H27" s="1011" t="s">
        <v>690</v>
      </c>
      <c r="I27"/>
      <c r="J27"/>
      <c r="K27"/>
      <c r="L27"/>
    </row>
    <row r="28" spans="1:12" s="1012" customFormat="1" ht="44.25" customHeight="1">
      <c r="A28" s="956"/>
      <c r="B28" s="963" t="s">
        <v>642</v>
      </c>
      <c r="C28" s="1013" t="s">
        <v>691</v>
      </c>
      <c r="D28" s="981" t="s">
        <v>692</v>
      </c>
      <c r="E28" s="981" t="s">
        <v>693</v>
      </c>
      <c r="F28" s="981" t="s">
        <v>694</v>
      </c>
      <c r="G28" s="981" t="s">
        <v>695</v>
      </c>
      <c r="H28" s="1017"/>
      <c r="I28"/>
      <c r="J28"/>
      <c r="K28"/>
      <c r="L28"/>
    </row>
    <row r="29" spans="1:12">
      <c r="A29" s="956">
        <f>+A23+1</f>
        <v>15</v>
      </c>
      <c r="B29" s="979" t="s">
        <v>640</v>
      </c>
      <c r="C29" s="1313">
        <v>0</v>
      </c>
      <c r="D29" s="1313">
        <v>0</v>
      </c>
      <c r="E29" s="1313">
        <v>0</v>
      </c>
      <c r="F29" s="1313">
        <v>870000000</v>
      </c>
      <c r="G29" s="1313">
        <v>0</v>
      </c>
      <c r="H29" s="1015">
        <f t="shared" ref="H29:H41" si="2">+C29-D29+E29+F29-G29</f>
        <v>870000000</v>
      </c>
      <c r="I29"/>
      <c r="J29"/>
      <c r="K29"/>
      <c r="L29"/>
    </row>
    <row r="30" spans="1:12">
      <c r="A30" s="956">
        <f t="shared" ref="A30:A42" si="3">+A29+1</f>
        <v>16</v>
      </c>
      <c r="B30" s="979" t="s">
        <v>187</v>
      </c>
      <c r="C30" s="1313">
        <v>0</v>
      </c>
      <c r="D30" s="1313">
        <v>0</v>
      </c>
      <c r="E30" s="1313">
        <v>0</v>
      </c>
      <c r="F30" s="1313">
        <v>870000000</v>
      </c>
      <c r="G30" s="1313">
        <v>0</v>
      </c>
      <c r="H30" s="1015">
        <f t="shared" si="2"/>
        <v>870000000</v>
      </c>
      <c r="I30"/>
      <c r="J30"/>
      <c r="K30"/>
      <c r="L30"/>
    </row>
    <row r="31" spans="1:12">
      <c r="A31" s="956">
        <f t="shared" si="3"/>
        <v>17</v>
      </c>
      <c r="B31" s="978" t="s">
        <v>561</v>
      </c>
      <c r="C31" s="1313">
        <v>0</v>
      </c>
      <c r="D31" s="1313">
        <v>0</v>
      </c>
      <c r="E31" s="1313">
        <v>0</v>
      </c>
      <c r="F31" s="1313">
        <v>870000000</v>
      </c>
      <c r="G31" s="1313">
        <v>0</v>
      </c>
      <c r="H31" s="1015">
        <f t="shared" si="2"/>
        <v>870000000</v>
      </c>
      <c r="I31"/>
      <c r="J31"/>
      <c r="K31"/>
      <c r="L31"/>
    </row>
    <row r="32" spans="1:12">
      <c r="A32" s="956">
        <f t="shared" si="3"/>
        <v>18</v>
      </c>
      <c r="B32" s="978" t="s">
        <v>639</v>
      </c>
      <c r="C32" s="1313">
        <v>0</v>
      </c>
      <c r="D32" s="1313">
        <v>0</v>
      </c>
      <c r="E32" s="1313">
        <v>0</v>
      </c>
      <c r="F32" s="1313">
        <v>995000000</v>
      </c>
      <c r="G32" s="1313">
        <v>0</v>
      </c>
      <c r="H32" s="1015">
        <f t="shared" si="2"/>
        <v>995000000</v>
      </c>
      <c r="I32"/>
      <c r="J32"/>
      <c r="K32"/>
      <c r="L32"/>
    </row>
    <row r="33" spans="1:12">
      <c r="A33" s="956">
        <f t="shared" si="3"/>
        <v>19</v>
      </c>
      <c r="B33" s="978" t="s">
        <v>189</v>
      </c>
      <c r="C33" s="1313">
        <v>0</v>
      </c>
      <c r="D33" s="1313">
        <v>0</v>
      </c>
      <c r="E33" s="1313">
        <v>0</v>
      </c>
      <c r="F33" s="1313">
        <v>995000000</v>
      </c>
      <c r="G33" s="1313">
        <v>0</v>
      </c>
      <c r="H33" s="1015">
        <f t="shared" si="2"/>
        <v>995000000</v>
      </c>
      <c r="I33"/>
      <c r="J33"/>
      <c r="K33"/>
      <c r="L33"/>
    </row>
    <row r="34" spans="1:12">
      <c r="A34" s="956">
        <f t="shared" si="3"/>
        <v>20</v>
      </c>
      <c r="B34" s="978" t="s">
        <v>190</v>
      </c>
      <c r="C34" s="1313">
        <v>0</v>
      </c>
      <c r="D34" s="1313">
        <v>0</v>
      </c>
      <c r="E34" s="1313">
        <v>0</v>
      </c>
      <c r="F34" s="1313">
        <v>995000000</v>
      </c>
      <c r="G34" s="1313">
        <v>0</v>
      </c>
      <c r="H34" s="1015">
        <f t="shared" si="2"/>
        <v>995000000</v>
      </c>
      <c r="I34"/>
      <c r="J34"/>
      <c r="K34"/>
      <c r="L34"/>
    </row>
    <row r="35" spans="1:12">
      <c r="A35" s="956">
        <f t="shared" si="3"/>
        <v>21</v>
      </c>
      <c r="B35" s="978" t="s">
        <v>384</v>
      </c>
      <c r="C35" s="1313">
        <v>0</v>
      </c>
      <c r="D35" s="1313">
        <v>0</v>
      </c>
      <c r="E35" s="1313">
        <v>0</v>
      </c>
      <c r="F35" s="1313">
        <v>995000000</v>
      </c>
      <c r="G35" s="1313">
        <v>0</v>
      </c>
      <c r="H35" s="1015">
        <f t="shared" si="2"/>
        <v>995000000</v>
      </c>
      <c r="I35"/>
      <c r="J35"/>
      <c r="K35"/>
      <c r="L35"/>
    </row>
    <row r="36" spans="1:12">
      <c r="A36" s="956">
        <f t="shared" si="3"/>
        <v>22</v>
      </c>
      <c r="B36" s="978" t="s">
        <v>191</v>
      </c>
      <c r="C36" s="1313">
        <v>0</v>
      </c>
      <c r="D36" s="1313">
        <v>0</v>
      </c>
      <c r="E36" s="1313">
        <v>0</v>
      </c>
      <c r="F36" s="1313">
        <v>995000000</v>
      </c>
      <c r="G36" s="1313">
        <v>0</v>
      </c>
      <c r="H36" s="1015">
        <f t="shared" si="2"/>
        <v>995000000</v>
      </c>
      <c r="I36"/>
      <c r="J36"/>
      <c r="K36"/>
      <c r="L36"/>
    </row>
    <row r="37" spans="1:12">
      <c r="A37" s="956">
        <f t="shared" si="3"/>
        <v>23</v>
      </c>
      <c r="B37" s="978" t="s">
        <v>638</v>
      </c>
      <c r="C37" s="1313">
        <v>0</v>
      </c>
      <c r="D37" s="1313">
        <v>0</v>
      </c>
      <c r="E37" s="1313">
        <v>0</v>
      </c>
      <c r="F37" s="1313">
        <v>995000000</v>
      </c>
      <c r="G37" s="1313">
        <v>0</v>
      </c>
      <c r="H37" s="1015">
        <f t="shared" si="2"/>
        <v>995000000</v>
      </c>
      <c r="I37"/>
      <c r="J37"/>
      <c r="K37"/>
      <c r="L37"/>
    </row>
    <row r="38" spans="1:12">
      <c r="A38" s="956">
        <f t="shared" si="3"/>
        <v>24</v>
      </c>
      <c r="B38" s="978" t="s">
        <v>194</v>
      </c>
      <c r="C38" s="1313">
        <v>0</v>
      </c>
      <c r="D38" s="1313">
        <v>0</v>
      </c>
      <c r="E38" s="1313">
        <v>0</v>
      </c>
      <c r="F38" s="1313">
        <v>995000000</v>
      </c>
      <c r="G38" s="1313">
        <v>0</v>
      </c>
      <c r="H38" s="1015">
        <f t="shared" si="2"/>
        <v>995000000</v>
      </c>
      <c r="I38"/>
      <c r="J38"/>
      <c r="K38"/>
      <c r="L38"/>
    </row>
    <row r="39" spans="1:12">
      <c r="A39" s="956">
        <f t="shared" si="3"/>
        <v>25</v>
      </c>
      <c r="B39" s="978" t="s">
        <v>562</v>
      </c>
      <c r="C39" s="1313">
        <v>0</v>
      </c>
      <c r="D39" s="1313">
        <v>0</v>
      </c>
      <c r="E39" s="1313">
        <v>0</v>
      </c>
      <c r="F39" s="1313">
        <v>995000000</v>
      </c>
      <c r="G39" s="1313">
        <v>0</v>
      </c>
      <c r="H39" s="1015">
        <f t="shared" si="2"/>
        <v>995000000</v>
      </c>
      <c r="I39"/>
      <c r="J39"/>
      <c r="K39"/>
      <c r="L39"/>
    </row>
    <row r="40" spans="1:12">
      <c r="A40" s="956">
        <f t="shared" si="3"/>
        <v>26</v>
      </c>
      <c r="B40" s="978" t="s">
        <v>563</v>
      </c>
      <c r="C40" s="1313">
        <v>0</v>
      </c>
      <c r="D40" s="1313">
        <v>0</v>
      </c>
      <c r="E40" s="1313">
        <v>0</v>
      </c>
      <c r="F40" s="1313">
        <v>995000000</v>
      </c>
      <c r="G40" s="1313">
        <v>0</v>
      </c>
      <c r="H40" s="1015">
        <f t="shared" si="2"/>
        <v>995000000</v>
      </c>
      <c r="I40"/>
      <c r="J40"/>
      <c r="K40"/>
      <c r="L40"/>
    </row>
    <row r="41" spans="1:12">
      <c r="A41" s="954">
        <f t="shared" si="3"/>
        <v>27</v>
      </c>
      <c r="B41" s="977" t="s">
        <v>637</v>
      </c>
      <c r="C41" s="1313">
        <v>0</v>
      </c>
      <c r="D41" s="1313">
        <v>0</v>
      </c>
      <c r="E41" s="1313">
        <v>0</v>
      </c>
      <c r="F41" s="1313">
        <v>995000000</v>
      </c>
      <c r="G41" s="1313">
        <v>0</v>
      </c>
      <c r="H41" s="1015">
        <f t="shared" si="2"/>
        <v>995000000</v>
      </c>
      <c r="I41"/>
      <c r="J41"/>
      <c r="K41"/>
      <c r="L41"/>
    </row>
    <row r="42" spans="1:12" ht="13.5" thickBot="1">
      <c r="A42" s="976">
        <f t="shared" si="3"/>
        <v>28</v>
      </c>
      <c r="B42" s="975" t="s">
        <v>871</v>
      </c>
      <c r="C42" s="1453">
        <f t="shared" ref="C42:H42" si="4">SUM(C29:C41)/13</f>
        <v>0</v>
      </c>
      <c r="D42" s="1454">
        <f t="shared" si="4"/>
        <v>0</v>
      </c>
      <c r="E42" s="1454">
        <f t="shared" si="4"/>
        <v>0</v>
      </c>
      <c r="F42" s="1454">
        <f t="shared" si="4"/>
        <v>966153846.15384614</v>
      </c>
      <c r="G42" s="1454">
        <f t="shared" si="4"/>
        <v>0</v>
      </c>
      <c r="H42" s="1016">
        <f t="shared" si="4"/>
        <v>966153846.15384614</v>
      </c>
      <c r="I42"/>
      <c r="J42"/>
      <c r="K42"/>
      <c r="L42"/>
    </row>
    <row r="43" spans="1:12" ht="13.5" thickTop="1">
      <c r="A43" s="1004"/>
      <c r="B43" s="1018"/>
      <c r="C43" s="1019"/>
      <c r="D43" s="1020"/>
      <c r="E43" s="1020"/>
      <c r="F43" s="1020"/>
      <c r="G43" s="1019"/>
      <c r="H43" s="1019"/>
      <c r="I43"/>
      <c r="J43"/>
      <c r="K43"/>
      <c r="L43"/>
    </row>
    <row r="44" spans="1:12" ht="12.75" customHeight="1">
      <c r="A44" s="1021" t="s">
        <v>696</v>
      </c>
      <c r="F44" s="611"/>
      <c r="G44" s="611"/>
      <c r="H44" s="611"/>
      <c r="I44"/>
      <c r="J44"/>
      <c r="K44"/>
    </row>
    <row r="45" spans="1:12">
      <c r="E45" s="611"/>
      <c r="F45" s="611"/>
      <c r="G45" s="611"/>
      <c r="H45" s="611"/>
      <c r="J45" s="1018"/>
    </row>
    <row r="46" spans="1:12" ht="15">
      <c r="A46" s="1023" t="s">
        <v>7</v>
      </c>
      <c r="E46" s="611"/>
      <c r="F46" s="611"/>
      <c r="G46" s="611"/>
      <c r="H46" s="951"/>
    </row>
    <row r="47" spans="1:12" ht="15">
      <c r="A47" s="1023"/>
      <c r="B47" s="1024" t="s">
        <v>647</v>
      </c>
      <c r="C47" s="1024" t="s">
        <v>646</v>
      </c>
      <c r="D47" s="1025" t="s">
        <v>645</v>
      </c>
      <c r="E47" s="1024" t="s">
        <v>644</v>
      </c>
      <c r="F47" s="1025" t="s">
        <v>643</v>
      </c>
      <c r="G47" s="1024" t="s">
        <v>665</v>
      </c>
      <c r="H47" s="1024" t="s">
        <v>666</v>
      </c>
    </row>
    <row r="48" spans="1:12">
      <c r="A48" s="684">
        <f>+A42+1</f>
        <v>29</v>
      </c>
      <c r="B48" s="1026" t="str">
        <f>"Annual Interest Expense for "&amp;TCOS!L4</f>
        <v>Annual Interest Expense for 2020</v>
      </c>
      <c r="C48" s="1027"/>
      <c r="D48" s="1028"/>
      <c r="E48" s="1029"/>
      <c r="F48" s="1029"/>
      <c r="G48" s="1029"/>
      <c r="H48" s="1029"/>
      <c r="I48" s="1029"/>
      <c r="J48" s="1029"/>
      <c r="K48" s="1029"/>
      <c r="L48" s="1029"/>
    </row>
    <row r="49" spans="1:12">
      <c r="A49" s="684">
        <f t="shared" ref="A49:A56" si="5">+A48+1</f>
        <v>30</v>
      </c>
      <c r="B49" s="1184" t="s">
        <v>769</v>
      </c>
      <c r="C49" s="1027"/>
      <c r="D49" s="1028"/>
      <c r="E49" s="1313">
        <v>38213312</v>
      </c>
      <c r="F49" s="1029"/>
      <c r="G49" s="1029"/>
      <c r="H49" s="1029"/>
      <c r="I49" s="1029"/>
      <c r="J49" s="1029"/>
      <c r="K49" s="1029"/>
      <c r="L49" s="1029"/>
    </row>
    <row r="50" spans="1:12" ht="28.5" customHeight="1">
      <c r="A50" s="684">
        <f t="shared" si="5"/>
        <v>31</v>
      </c>
      <c r="B50" s="1553" t="str">
        <f>"Less: Total Hedge Gain/Expense Accumulated from p 256-257, col. (i) of FERC Form 1  included in Ln "&amp;A49&amp;" and shown in "&amp;A74&amp;" below."</f>
        <v>Less: Total Hedge Gain/Expense Accumulated from p 256-257, col. (i) of FERC Form 1  included in Ln 30 and shown in 50 below.</v>
      </c>
      <c r="C50" s="1554"/>
      <c r="D50" s="1028"/>
      <c r="E50" s="1027">
        <f>+C74</f>
        <v>0</v>
      </c>
      <c r="F50" s="1029"/>
      <c r="G50" s="1029"/>
      <c r="H50" s="1029"/>
      <c r="I50" s="1029"/>
      <c r="J50" s="1029"/>
      <c r="K50" s="1029"/>
      <c r="L50" s="1029"/>
    </row>
    <row r="51" spans="1:12" ht="16.5" customHeight="1">
      <c r="A51" s="684">
        <f t="shared" si="5"/>
        <v>32</v>
      </c>
      <c r="B51" s="1032" t="str">
        <f>"Plus:  Allowed Hedge Recovery From Ln "&amp;A80&amp;"  below."</f>
        <v>Plus:  Allowed Hedge Recovery From Ln 55  below.</v>
      </c>
      <c r="C51" s="1185"/>
      <c r="D51" s="1028"/>
      <c r="E51" s="1033">
        <f>+E80</f>
        <v>0</v>
      </c>
      <c r="F51" s="1029"/>
      <c r="G51" s="1029"/>
      <c r="H51" s="1029"/>
      <c r="I51" s="1029"/>
      <c r="J51" s="1029"/>
      <c r="K51" s="1029"/>
      <c r="L51" s="1029"/>
    </row>
    <row r="52" spans="1:12">
      <c r="A52" s="684">
        <f t="shared" si="5"/>
        <v>33</v>
      </c>
      <c r="B52" s="1184" t="s">
        <v>770</v>
      </c>
      <c r="C52" s="1186"/>
      <c r="D52" s="1034"/>
      <c r="E52" s="1313">
        <v>478690</v>
      </c>
      <c r="F52" s="1029"/>
      <c r="G52" s="1029"/>
      <c r="H52" s="1029"/>
      <c r="I52" s="1029"/>
      <c r="J52" s="1029"/>
    </row>
    <row r="53" spans="1:12">
      <c r="A53" s="684">
        <f t="shared" si="5"/>
        <v>34</v>
      </c>
      <c r="B53" s="1184" t="s">
        <v>771</v>
      </c>
      <c r="C53" s="1035"/>
      <c r="D53" s="1028"/>
      <c r="E53" s="1313">
        <v>33651</v>
      </c>
      <c r="F53" s="1029"/>
      <c r="G53" s="1029"/>
      <c r="H53" s="1029"/>
      <c r="I53" s="1029"/>
      <c r="J53" s="1029"/>
    </row>
    <row r="54" spans="1:12">
      <c r="A54" s="684">
        <f t="shared" si="5"/>
        <v>35</v>
      </c>
      <c r="B54" s="1184" t="s">
        <v>772</v>
      </c>
      <c r="C54" s="1035"/>
      <c r="D54" s="1028"/>
      <c r="E54" s="1313"/>
      <c r="F54" s="1029"/>
      <c r="G54" s="1029"/>
      <c r="H54" s="1029"/>
      <c r="I54" s="1029"/>
      <c r="J54" s="1029"/>
    </row>
    <row r="55" spans="1:12" ht="13.5" thickBot="1">
      <c r="A55" s="684">
        <f t="shared" si="5"/>
        <v>36</v>
      </c>
      <c r="B55" s="1184" t="s">
        <v>773</v>
      </c>
      <c r="C55" s="1035"/>
      <c r="D55" s="1028"/>
      <c r="E55" s="1455"/>
      <c r="F55" s="1029"/>
      <c r="G55" s="1029"/>
      <c r="H55" s="1029"/>
      <c r="I55" s="1029"/>
      <c r="J55" s="1029"/>
    </row>
    <row r="56" spans="1:12">
      <c r="A56" s="684">
        <f t="shared" si="5"/>
        <v>37</v>
      </c>
      <c r="B56" s="1026" t="str">
        <f>"Total Interest Expense (Ln "&amp;A49&amp;" - "&amp;A50&amp;" + "&amp;A52&amp;" + "&amp;A53&amp;" - "&amp;A54&amp;" - "&amp;A55&amp;")"</f>
        <v>Total Interest Expense (Ln 30 - 31 + 33 + 34 - 35 - 36)</v>
      </c>
      <c r="C56" s="1036"/>
      <c r="D56" s="1037"/>
      <c r="E56" s="1038">
        <f>+E49-E50+E51+E52+E53-E54-E55</f>
        <v>38725653</v>
      </c>
      <c r="F56" s="1029"/>
      <c r="G56" s="1029"/>
      <c r="H56" s="1029"/>
      <c r="I56" s="1029"/>
      <c r="J56" s="1029"/>
    </row>
    <row r="57" spans="1:12" ht="13.5" thickBot="1">
      <c r="A57" s="684"/>
      <c r="B57" s="1030"/>
      <c r="C57" s="1035"/>
      <c r="D57" s="1028"/>
      <c r="E57" s="1038"/>
      <c r="F57" s="1029"/>
      <c r="G57" s="1029"/>
      <c r="H57" s="1029"/>
      <c r="I57" s="1029"/>
      <c r="J57" s="1029"/>
    </row>
    <row r="58" spans="1:12" ht="13.5" thickBot="1">
      <c r="A58" s="684">
        <f>+A56+1</f>
        <v>38</v>
      </c>
      <c r="B58" s="1026" t="str">
        <f>"Average Cost of Debt for "&amp;TCOS!L4&amp;" (Ln "&amp;A56&amp;"/ ln "&amp;A42&amp;" (g))"</f>
        <v>Average Cost of Debt for 2020 (Ln 37/ ln 28 (g))</v>
      </c>
      <c r="C58" s="1036"/>
      <c r="D58" s="1028"/>
      <c r="E58" s="1039">
        <f>+E56/H42</f>
        <v>4.0082284156050953E-2</v>
      </c>
      <c r="F58" s="1029"/>
      <c r="G58" s="1029"/>
      <c r="H58" s="1029"/>
      <c r="I58" s="1029"/>
      <c r="J58" s="1029"/>
    </row>
    <row r="59" spans="1:12">
      <c r="A59" s="1040"/>
      <c r="B59" s="1030"/>
      <c r="C59" s="1035"/>
      <c r="D59" s="1028"/>
      <c r="E59" s="1035"/>
      <c r="F59" s="1029"/>
      <c r="G59" s="1029"/>
      <c r="H59" s="1029"/>
      <c r="I59" s="1029"/>
      <c r="J59" s="1029"/>
    </row>
    <row r="60" spans="1:12" s="1042" customFormat="1" ht="28.5" customHeight="1">
      <c r="A60" s="807"/>
      <c r="B60" s="1555" t="s">
        <v>0</v>
      </c>
      <c r="C60" s="1555"/>
      <c r="D60" s="1555"/>
      <c r="E60" s="1555"/>
      <c r="F60" s="808"/>
      <c r="G60" s="1041"/>
    </row>
    <row r="61" spans="1:12" s="1042" customFormat="1" ht="107.25" customHeight="1">
      <c r="A61" s="809">
        <f>+A58+1</f>
        <v>39</v>
      </c>
      <c r="B61" s="1556" t="s">
        <v>314</v>
      </c>
      <c r="C61" s="1557"/>
      <c r="D61" s="1557"/>
      <c r="E61" s="1557"/>
      <c r="F61" s="611"/>
      <c r="G61" s="1041"/>
    </row>
    <row r="62" spans="1:12" s="1042" customFormat="1" ht="12" customHeight="1">
      <c r="A62" s="807"/>
      <c r="B62" s="810"/>
      <c r="C62" s="810"/>
      <c r="D62" s="810"/>
      <c r="E62" s="810"/>
      <c r="F62" s="1041"/>
      <c r="G62" s="1558" t="s">
        <v>234</v>
      </c>
      <c r="H62" s="1558"/>
    </row>
    <row r="63" spans="1:12" s="1042" customFormat="1" ht="52.5" customHeight="1">
      <c r="A63" s="625"/>
      <c r="B63" s="1438" t="s">
        <v>361</v>
      </c>
      <c r="C63" s="1043" t="str">
        <f>"Total Hedge (Gain)/Loss for "&amp;TCOS!L4</f>
        <v>Total Hedge (Gain)/Loss for 2020</v>
      </c>
      <c r="D63" s="1043" t="str">
        <f>"Less Excludable Amounts (See NOTE on Line "&amp;A61&amp;")"</f>
        <v>Less Excludable Amounts (See NOTE on Line 39)</v>
      </c>
      <c r="E63" s="1043" t="s">
        <v>1</v>
      </c>
      <c r="F63" s="1043" t="s">
        <v>233</v>
      </c>
      <c r="G63" s="1043" t="s">
        <v>285</v>
      </c>
      <c r="H63" s="1043" t="s">
        <v>287</v>
      </c>
    </row>
    <row r="64" spans="1:12" s="1042" customFormat="1" ht="12.75" customHeight="1">
      <c r="A64" s="625">
        <f>+A61+1</f>
        <v>40</v>
      </c>
      <c r="B64" s="1316" t="s">
        <v>920</v>
      </c>
      <c r="C64" s="1314">
        <v>0</v>
      </c>
      <c r="D64" s="1315"/>
      <c r="E64" s="1045">
        <f t="shared" ref="E64:E72" si="6">+C64-D64</f>
        <v>0</v>
      </c>
      <c r="F64" s="918"/>
      <c r="G64" s="1046"/>
      <c r="H64" s="1046"/>
      <c r="I64" s="357"/>
      <c r="J64" s="357"/>
    </row>
    <row r="65" spans="1:8" s="1042" customFormat="1" ht="12.75" customHeight="1">
      <c r="A65" s="625">
        <f t="shared" ref="A65:A74" si="7">+A64+1</f>
        <v>41</v>
      </c>
      <c r="B65" s="1316" t="s">
        <v>921</v>
      </c>
      <c r="C65" s="1314">
        <v>0</v>
      </c>
      <c r="D65" s="1315"/>
      <c r="E65" s="1045">
        <f t="shared" si="6"/>
        <v>0</v>
      </c>
      <c r="F65" s="918"/>
      <c r="G65" s="1046"/>
      <c r="H65" s="1046"/>
    </row>
    <row r="66" spans="1:8" s="1042" customFormat="1" ht="12.75" customHeight="1">
      <c r="A66" s="625">
        <f t="shared" si="7"/>
        <v>42</v>
      </c>
      <c r="B66" s="1316" t="s">
        <v>922</v>
      </c>
      <c r="C66" s="1314">
        <v>0</v>
      </c>
      <c r="D66" s="1047"/>
      <c r="E66" s="1045">
        <f t="shared" si="6"/>
        <v>0</v>
      </c>
      <c r="F66" s="918"/>
      <c r="G66" s="1046"/>
      <c r="H66" s="1046"/>
    </row>
    <row r="67" spans="1:8" s="1042" customFormat="1" ht="12.75" customHeight="1">
      <c r="A67" s="625">
        <f t="shared" si="7"/>
        <v>43</v>
      </c>
      <c r="B67" s="1044"/>
      <c r="C67" s="918"/>
      <c r="D67" s="1047"/>
      <c r="E67" s="1045">
        <f t="shared" si="6"/>
        <v>0</v>
      </c>
      <c r="F67" s="918"/>
      <c r="G67" s="1046"/>
      <c r="H67" s="1046"/>
    </row>
    <row r="68" spans="1:8" s="1042" customFormat="1" ht="12.75" customHeight="1">
      <c r="A68" s="625">
        <f t="shared" si="7"/>
        <v>44</v>
      </c>
      <c r="B68" s="1044"/>
      <c r="C68" s="918"/>
      <c r="D68" s="1044"/>
      <c r="E68" s="1045">
        <f t="shared" si="6"/>
        <v>0</v>
      </c>
      <c r="F68" s="918"/>
      <c r="G68" s="1046"/>
      <c r="H68" s="1046"/>
    </row>
    <row r="69" spans="1:8" s="1042" customFormat="1" ht="12.75" customHeight="1">
      <c r="A69" s="625">
        <f t="shared" si="7"/>
        <v>45</v>
      </c>
      <c r="B69" s="1044"/>
      <c r="C69" s="918"/>
      <c r="D69" s="1044"/>
      <c r="E69" s="1045">
        <f t="shared" si="6"/>
        <v>0</v>
      </c>
      <c r="F69" s="918"/>
      <c r="G69" s="1046"/>
      <c r="H69" s="1046"/>
    </row>
    <row r="70" spans="1:8" s="1042" customFormat="1" ht="12.75" customHeight="1">
      <c r="A70" s="625">
        <f t="shared" si="7"/>
        <v>46</v>
      </c>
      <c r="B70" s="1044"/>
      <c r="C70" s="918"/>
      <c r="D70" s="1044"/>
      <c r="E70" s="1045">
        <f t="shared" si="6"/>
        <v>0</v>
      </c>
      <c r="F70" s="918"/>
      <c r="G70" s="1046"/>
      <c r="H70" s="1046"/>
    </row>
    <row r="71" spans="1:8" s="1042" customFormat="1" ht="12.75" customHeight="1">
      <c r="A71" s="625">
        <f t="shared" si="7"/>
        <v>47</v>
      </c>
      <c r="B71" s="1044"/>
      <c r="C71" s="918"/>
      <c r="D71" s="1048"/>
      <c r="E71" s="1045">
        <f t="shared" si="6"/>
        <v>0</v>
      </c>
      <c r="F71" s="918"/>
      <c r="G71" s="1046"/>
      <c r="H71" s="1046"/>
    </row>
    <row r="72" spans="1:8" s="1042" customFormat="1" ht="12.75" customHeight="1">
      <c r="A72" s="625">
        <f t="shared" si="7"/>
        <v>48</v>
      </c>
      <c r="B72" s="1044"/>
      <c r="C72" s="918"/>
      <c r="D72" s="1031"/>
      <c r="E72" s="1045">
        <f t="shared" si="6"/>
        <v>0</v>
      </c>
      <c r="F72" s="1049"/>
      <c r="G72" s="1049"/>
      <c r="H72" s="1049"/>
    </row>
    <row r="73" spans="1:8" s="1042" customFormat="1" ht="12.75" customHeight="1">
      <c r="A73" s="625">
        <f t="shared" si="7"/>
        <v>49</v>
      </c>
      <c r="B73" s="570"/>
      <c r="C73" s="1050"/>
      <c r="D73" s="1050"/>
      <c r="E73" s="1051"/>
      <c r="F73" s="1045">
        <f>SUM(F64:F72)</f>
        <v>0</v>
      </c>
      <c r="G73" s="1041"/>
    </row>
    <row r="74" spans="1:8" s="1042" customFormat="1" ht="12.75" customHeight="1">
      <c r="A74" s="625">
        <f t="shared" si="7"/>
        <v>50</v>
      </c>
      <c r="B74" s="1030" t="s">
        <v>8</v>
      </c>
      <c r="C74" s="1038">
        <f>SUM(C64:C72)</f>
        <v>0</v>
      </c>
      <c r="D74" s="1038">
        <f>SUM(D64:D72)</f>
        <v>0</v>
      </c>
      <c r="F74" s="1041"/>
      <c r="G74" s="1041"/>
    </row>
    <row r="75" spans="1:8" s="1042" customFormat="1" ht="21" customHeight="1">
      <c r="A75" s="625"/>
      <c r="B75" s="1030"/>
      <c r="C75" s="1038"/>
      <c r="D75" s="1038"/>
      <c r="E75" s="1038"/>
      <c r="F75" s="1041"/>
      <c r="G75" s="1041"/>
    </row>
    <row r="76" spans="1:8" s="1042" customFormat="1" ht="14.25" customHeight="1">
      <c r="A76" s="625">
        <f>+A74+1</f>
        <v>51</v>
      </c>
      <c r="B76" s="1030" t="str">
        <f>"Hedge Gain or Loss Prior to Application of Recovery Limit (Sum of Lines "&amp;A64&amp;" to "&amp;A72&amp;")"</f>
        <v>Hedge Gain or Loss Prior to Application of Recovery Limit (Sum of Lines 40 to 48)</v>
      </c>
      <c r="C76" s="1038"/>
      <c r="D76" s="1038"/>
      <c r="E76" s="1038">
        <f>SUM(E64:E72)</f>
        <v>0</v>
      </c>
      <c r="F76" s="1041"/>
      <c r="G76" s="1041"/>
    </row>
    <row r="77" spans="1:8" s="1042" customFormat="1" ht="12.75" customHeight="1">
      <c r="A77" s="625">
        <f>+A76+1</f>
        <v>52</v>
      </c>
      <c r="B77" s="1052" t="str">
        <f>"Total Average Capital Structure Balance for "&amp;TCOS!L4&amp;" (TCOS, Ln "&amp;TCOS!B258&amp;")"</f>
        <v>Total Average Capital Structure Balance for 2020 (TCOS, Ln 157)</v>
      </c>
      <c r="C77" s="1035"/>
      <c r="D77" s="1028"/>
      <c r="E77" s="1053">
        <f>TCOS!G258</f>
        <v>1768180663.5048461</v>
      </c>
      <c r="F77" s="1041"/>
      <c r="G77" s="1041"/>
      <c r="H77" s="1054"/>
    </row>
    <row r="78" spans="1:8" s="1042" customFormat="1" ht="12.75" customHeight="1">
      <c r="A78" s="625">
        <f>+A77+1</f>
        <v>53</v>
      </c>
      <c r="B78" s="1030" t="s">
        <v>491</v>
      </c>
      <c r="C78" s="1035"/>
      <c r="D78" s="1028"/>
      <c r="E78" s="1055">
        <v>5.0000000000000001E-4</v>
      </c>
      <c r="F78" s="1041"/>
      <c r="G78" s="1056"/>
    </row>
    <row r="79" spans="1:8" s="1042" customFormat="1" ht="12.75" customHeight="1" thickBot="1">
      <c r="A79" s="625">
        <f>+A78+1</f>
        <v>54</v>
      </c>
      <c r="B79" s="1030" t="s">
        <v>492</v>
      </c>
      <c r="C79" s="1035"/>
      <c r="D79" s="1028"/>
      <c r="E79" s="1057">
        <f>+E77*E78</f>
        <v>884090.33175242308</v>
      </c>
      <c r="F79" s="1041"/>
      <c r="G79" s="1041"/>
    </row>
    <row r="80" spans="1:8" s="1042" customFormat="1" ht="12.75" customHeight="1" thickBot="1">
      <c r="A80" s="625">
        <f>+A79+1</f>
        <v>55</v>
      </c>
      <c r="B80" s="1026" t="str">
        <f>"Recoverable Hedge Amortization (Lesser of Ln "&amp;A76&amp;" or Ln "&amp;A79&amp;")"</f>
        <v>Recoverable Hedge Amortization (Lesser of Ln 51 or Ln 54)</v>
      </c>
      <c r="C80" s="1035"/>
      <c r="D80" s="1028"/>
      <c r="E80" s="1058">
        <f>+IF(E79&lt;E76,E79,E76)</f>
        <v>0</v>
      </c>
      <c r="F80" s="1041"/>
      <c r="G80" s="1041"/>
    </row>
    <row r="81" spans="1:7" s="1042" customFormat="1" ht="12.75" customHeight="1">
      <c r="A81" s="625"/>
      <c r="B81" s="1030"/>
      <c r="C81" s="1035"/>
      <c r="D81" s="1028"/>
      <c r="E81" s="1035"/>
      <c r="F81" s="1041"/>
      <c r="G81" s="1041"/>
    </row>
    <row r="82" spans="1:7" s="1042" customFormat="1" ht="12.75" customHeight="1">
      <c r="A82" s="1059" t="s">
        <v>9</v>
      </c>
      <c r="B82" s="1060"/>
      <c r="C82" s="1035"/>
      <c r="D82" s="1028"/>
      <c r="E82" s="1035"/>
      <c r="F82" s="1041"/>
      <c r="G82" s="1041"/>
    </row>
    <row r="83" spans="1:7" s="1042" customFormat="1" ht="12.75" customHeight="1">
      <c r="A83" s="625"/>
      <c r="B83" s="1030"/>
      <c r="C83" s="1035"/>
      <c r="D83" s="1028"/>
      <c r="E83" s="1035"/>
      <c r="F83" s="1041"/>
      <c r="G83" s="1041"/>
    </row>
    <row r="84" spans="1:7" s="1042" customFormat="1" ht="12.75" customHeight="1">
      <c r="A84" s="625"/>
      <c r="B84" s="1061" t="s">
        <v>260</v>
      </c>
      <c r="C84" s="1062"/>
      <c r="D84" s="1063"/>
      <c r="E84" s="1062" t="s">
        <v>508</v>
      </c>
      <c r="F84" s="1041"/>
      <c r="G84" s="1041"/>
    </row>
    <row r="85" spans="1:7" s="1042" customFormat="1" ht="12.75" customHeight="1">
      <c r="A85" s="625">
        <f>+A80+1</f>
        <v>56</v>
      </c>
      <c r="B85" s="1028" t="str">
        <f>""&amp;C$85*100&amp;"% Series - "&amp;C$86&amp;" - Dividend Rate (p. 250-251)"</f>
        <v>0% Series - 0 - Dividend Rate (p. 250-251)</v>
      </c>
      <c r="C85" s="1064">
        <v>0</v>
      </c>
      <c r="D85" s="1064">
        <v>0</v>
      </c>
      <c r="E85" s="1062"/>
      <c r="F85" s="1041"/>
      <c r="G85" s="1041"/>
    </row>
    <row r="86" spans="1:7" s="1042" customFormat="1" ht="12.75" customHeight="1">
      <c r="A86" s="625">
        <f>+A85+1</f>
        <v>57</v>
      </c>
      <c r="B86" s="1028" t="str">
        <f>""&amp;C$85*100&amp;"% Series - "&amp;C$86&amp;" - Par Value (p. 250-251)"</f>
        <v>0% Series - 0 - Par Value (p. 250-251)</v>
      </c>
      <c r="C86" s="1065">
        <v>0</v>
      </c>
      <c r="D86" s="1065">
        <v>0</v>
      </c>
      <c r="E86" s="1062"/>
      <c r="F86" s="1041"/>
      <c r="G86" s="1041"/>
    </row>
    <row r="87" spans="1:7" s="1042" customFormat="1" ht="12.75" customHeight="1">
      <c r="A87" s="625">
        <f>+A86+1</f>
        <v>58</v>
      </c>
      <c r="B87" s="1028" t="str">
        <f>""&amp;C$85*100&amp;"% Series - "&amp;C$86&amp;" - Shares O/S (p.250-251) "</f>
        <v xml:space="preserve">0% Series - 0 - Shares O/S (p.250-251) </v>
      </c>
      <c r="C87" s="1031">
        <v>0</v>
      </c>
      <c r="D87" s="1031">
        <v>0</v>
      </c>
      <c r="E87" s="1066"/>
      <c r="F87" s="1041"/>
      <c r="G87" s="1041"/>
    </row>
    <row r="88" spans="1:7" s="1042" customFormat="1" ht="12.75" customHeight="1">
      <c r="A88" s="625">
        <f>+A87+1</f>
        <v>59</v>
      </c>
      <c r="B88" s="1028" t="str">
        <f>""&amp;C$85*100&amp;"% Series - "&amp;C$86&amp;" - Monetary Value (Ln "&amp;A86&amp;" * Ln "&amp;A87&amp;")"</f>
        <v>0% Series - 0 - Monetary Value (Ln 57 * Ln 58)</v>
      </c>
      <c r="C88" s="1067">
        <f>+C87*C86</f>
        <v>0</v>
      </c>
      <c r="D88" s="1067">
        <f>+D87*D86</f>
        <v>0</v>
      </c>
      <c r="E88" s="1068">
        <f>IF(C88=D88=0,0,AVERAGE(C88:D88))</f>
        <v>0</v>
      </c>
      <c r="F88" s="1041"/>
      <c r="G88" s="1041"/>
    </row>
    <row r="89" spans="1:7" s="1042" customFormat="1" ht="12.75" customHeight="1">
      <c r="A89" s="625">
        <f>+A88+1</f>
        <v>60</v>
      </c>
      <c r="B89" s="1028" t="str">
        <f>""&amp;C$85*100&amp;"% Series - "&amp;C$86&amp;" -  Dividend Amount (Ln "&amp;A85&amp;" * Ln "&amp;A88&amp;")"</f>
        <v>0% Series - 0 -  Dividend Amount (Ln 56 * Ln 59)</v>
      </c>
      <c r="C89" s="1067">
        <f>+C88*C85</f>
        <v>0</v>
      </c>
      <c r="D89" s="1067">
        <f>+D88*D85</f>
        <v>0</v>
      </c>
      <c r="E89" s="1068">
        <f>IF(C89=D89=0,0,AVERAGE(C89:D89))</f>
        <v>0</v>
      </c>
      <c r="F89" s="1041"/>
      <c r="G89" s="1041"/>
    </row>
    <row r="90" spans="1:7" s="1042" customFormat="1" ht="12.75" customHeight="1">
      <c r="A90" s="625"/>
      <c r="B90" s="1028"/>
      <c r="C90" s="1067"/>
      <c r="D90" s="1056"/>
      <c r="E90" s="1069"/>
      <c r="F90" s="1041"/>
      <c r="G90" s="1041"/>
    </row>
    <row r="91" spans="1:7" s="1042" customFormat="1" ht="12.75" customHeight="1">
      <c r="A91" s="625">
        <f>+A89+1</f>
        <v>61</v>
      </c>
      <c r="B91" s="1028" t="str">
        <f>""&amp;C$91*100&amp;"% Series - "&amp;C$92&amp;" - Dividend Rate (p. 250-251)"</f>
        <v>0% Series - 0 - Dividend Rate (p. 250-251)</v>
      </c>
      <c r="C91" s="1064">
        <v>0</v>
      </c>
      <c r="D91" s="1064">
        <v>0</v>
      </c>
      <c r="E91" s="1069"/>
      <c r="F91" s="1041"/>
      <c r="G91" s="1041"/>
    </row>
    <row r="92" spans="1:7" s="1042" customFormat="1" ht="12.75" customHeight="1">
      <c r="A92" s="625">
        <f>+A91+1</f>
        <v>62</v>
      </c>
      <c r="B92" s="1028" t="str">
        <f>""&amp;C$91*100&amp;"% Series - "&amp;C$92&amp;" - Par Value (p. 250-251)"</f>
        <v>0% Series - 0 - Par Value (p. 250-251)</v>
      </c>
      <c r="C92" s="1065">
        <v>0</v>
      </c>
      <c r="D92" s="1065">
        <v>0</v>
      </c>
      <c r="E92" s="1069"/>
      <c r="F92" s="1041"/>
      <c r="G92" s="1041"/>
    </row>
    <row r="93" spans="1:7" s="1042" customFormat="1" ht="12.75" customHeight="1">
      <c r="A93" s="625">
        <f>+A92+1</f>
        <v>63</v>
      </c>
      <c r="B93" s="1028" t="str">
        <f>""&amp;C$91*100&amp;"% Series - "&amp;C$92&amp;" - Shares O/S (p.250-251) "</f>
        <v xml:space="preserve">0% Series - 0 - Shares O/S (p.250-251) </v>
      </c>
      <c r="C93" s="1031">
        <v>0</v>
      </c>
      <c r="D93" s="1031">
        <v>0</v>
      </c>
      <c r="E93" s="1069"/>
      <c r="F93" s="1041"/>
      <c r="G93" s="1041"/>
    </row>
    <row r="94" spans="1:7" s="1042" customFormat="1" ht="12.75" customHeight="1">
      <c r="A94" s="625">
        <f>+A93+1</f>
        <v>64</v>
      </c>
      <c r="B94" s="1028" t="str">
        <f>""&amp;C$91*100&amp;"% Series - "&amp;C$92&amp;" - Monetary Value (Ln "&amp;A92&amp;" * Ln "&amp;A93&amp;")"</f>
        <v>0% Series - 0 - Monetary Value (Ln 62 * Ln 63)</v>
      </c>
      <c r="C94" s="1027">
        <f>+C93*C92</f>
        <v>0</v>
      </c>
      <c r="D94" s="1027">
        <f>+D93*D92</f>
        <v>0</v>
      </c>
      <c r="E94" s="1068">
        <f>IF(C94=D94=0,0,AVERAGE(C94:D94))</f>
        <v>0</v>
      </c>
      <c r="F94" s="1041"/>
      <c r="G94" s="1041"/>
    </row>
    <row r="95" spans="1:7" s="1042" customFormat="1" ht="12.75" customHeight="1">
      <c r="A95" s="625">
        <f>+A94+1</f>
        <v>65</v>
      </c>
      <c r="B95" s="1028" t="str">
        <f>""&amp;C$91*100&amp;"% Series - "&amp;C$92&amp;" -  Dividend Amount (Ln "&amp;A91&amp;" * Ln "&amp;A94&amp;")"</f>
        <v>0% Series - 0 -  Dividend Amount (Ln 61 * Ln 64)</v>
      </c>
      <c r="C95" s="1027">
        <f>+C94*C91</f>
        <v>0</v>
      </c>
      <c r="D95" s="1027">
        <f>+D94*D91</f>
        <v>0</v>
      </c>
      <c r="E95" s="1068">
        <f>IF(C95=D95=0,0,AVERAGE(C95:D95))</f>
        <v>0</v>
      </c>
      <c r="F95" s="1041"/>
      <c r="G95" s="1041"/>
    </row>
    <row r="96" spans="1:7" s="1042" customFormat="1" ht="12.75" customHeight="1">
      <c r="A96" s="625"/>
      <c r="B96" s="1028"/>
      <c r="C96" s="1027"/>
      <c r="D96" s="1027"/>
      <c r="E96" s="1068"/>
      <c r="F96" s="1041"/>
      <c r="G96" s="1041"/>
    </row>
    <row r="97" spans="1:7" s="1042" customFormat="1" ht="12.75" customHeight="1">
      <c r="A97" s="625">
        <f>+A95+1</f>
        <v>66</v>
      </c>
      <c r="B97" s="1028" t="str">
        <f>""&amp;C$97*100&amp;"% Series - "&amp;C$98&amp;" - Dividend Rate (p. 250-251)"</f>
        <v>0% Series - 0 - Dividend Rate (p. 250-251)</v>
      </c>
      <c r="C97" s="1064">
        <v>0</v>
      </c>
      <c r="D97" s="1064">
        <v>0</v>
      </c>
      <c r="E97" s="1068"/>
      <c r="F97" s="1041"/>
      <c r="G97" s="1041"/>
    </row>
    <row r="98" spans="1:7" s="1042" customFormat="1" ht="12.75" customHeight="1">
      <c r="A98" s="625">
        <f>+A97+1</f>
        <v>67</v>
      </c>
      <c r="B98" s="1028" t="str">
        <f>""&amp;C$97*100&amp;"% Series - "&amp;C$98&amp;" - Par Value (p. 250-251)"</f>
        <v>0% Series - 0 - Par Value (p. 250-251)</v>
      </c>
      <c r="C98" s="1065">
        <v>0</v>
      </c>
      <c r="D98" s="1065">
        <v>0</v>
      </c>
      <c r="E98" s="1068"/>
      <c r="F98" s="1041"/>
      <c r="G98" s="1041"/>
    </row>
    <row r="99" spans="1:7" s="1042" customFormat="1" ht="12.75" customHeight="1">
      <c r="A99" s="625">
        <f>+A98+1</f>
        <v>68</v>
      </c>
      <c r="B99" s="1028" t="str">
        <f>""&amp;C$97*100&amp;"% Series - "&amp;C$98&amp;" - Shares O/S (p.250-251) "</f>
        <v xml:space="preserve">0% Series - 0 - Shares O/S (p.250-251) </v>
      </c>
      <c r="C99" s="1031">
        <v>0</v>
      </c>
      <c r="D99" s="1031">
        <v>0</v>
      </c>
      <c r="E99" s="1069"/>
      <c r="F99" s="1041"/>
      <c r="G99" s="1041"/>
    </row>
    <row r="100" spans="1:7" s="1042" customFormat="1" ht="12.75" customHeight="1">
      <c r="A100" s="625">
        <f>+A99+1</f>
        <v>69</v>
      </c>
      <c r="B100" s="1028" t="str">
        <f>""&amp;C$97*100&amp;"% Series - "&amp;C$98&amp;" - Monetary Value (Ln "&amp;A98&amp;" * Ln "&amp;A99&amp;")"</f>
        <v>0% Series - 0 - Monetary Value (Ln 67 * Ln 68)</v>
      </c>
      <c r="C100" s="1027">
        <f>+C99*C98</f>
        <v>0</v>
      </c>
      <c r="D100" s="1027">
        <f>+D99*D98</f>
        <v>0</v>
      </c>
      <c r="E100" s="1068">
        <f>IF(C100=D100=0,0,AVERAGE(C100:D100))</f>
        <v>0</v>
      </c>
      <c r="F100" s="1041"/>
      <c r="G100" s="1041"/>
    </row>
    <row r="101" spans="1:7" s="1042" customFormat="1" ht="12.75" customHeight="1">
      <c r="A101" s="625">
        <f>+A100+1</f>
        <v>70</v>
      </c>
      <c r="B101" s="1028" t="str">
        <f>""&amp;C$97*100&amp;"% Series - "&amp;C$98&amp;" -  Dividend Amount (Ln "&amp;A97&amp;" * Ln "&amp;A100&amp;")"</f>
        <v>0% Series - 0 -  Dividend Amount (Ln 66 * Ln 69)</v>
      </c>
      <c r="C101" s="1027">
        <f>+C100*C97</f>
        <v>0</v>
      </c>
      <c r="D101" s="1027">
        <f>+D100*D97</f>
        <v>0</v>
      </c>
      <c r="E101" s="1068">
        <f>IF(C101=D101=0,0,AVERAGE(C101:D101))</f>
        <v>0</v>
      </c>
      <c r="F101" s="1041"/>
      <c r="G101" s="1041"/>
    </row>
    <row r="102" spans="1:7" s="1042" customFormat="1" ht="12.75" customHeight="1">
      <c r="A102" s="625"/>
      <c r="B102" s="1028"/>
      <c r="C102" s="1027"/>
      <c r="D102" s="1027"/>
      <c r="E102" s="1041"/>
      <c r="F102" s="1041"/>
      <c r="G102" s="1041"/>
    </row>
    <row r="103" spans="1:7" s="1042" customFormat="1" ht="12.75" customHeight="1">
      <c r="A103" s="625">
        <f>+A101+1</f>
        <v>71</v>
      </c>
      <c r="B103" s="1037" t="str">
        <f>"Balance of Preferred Stock (Lns "&amp;A88&amp;", "&amp;A94&amp;", "&amp;A100&amp;")"</f>
        <v>Balance of Preferred Stock (Lns 59, 64, 69)</v>
      </c>
      <c r="C103" s="1027">
        <f>+C88+C94+C100</f>
        <v>0</v>
      </c>
      <c r="D103" s="1027">
        <f>+D88+D94+D100</f>
        <v>0</v>
      </c>
      <c r="E103" s="1070">
        <f>+E88+E94+E100</f>
        <v>0</v>
      </c>
      <c r="F103" s="1028" t="s">
        <v>315</v>
      </c>
      <c r="G103" s="1041"/>
    </row>
    <row r="104" spans="1:7" s="1042" customFormat="1" ht="12.75" customHeight="1" thickBot="1">
      <c r="A104" s="625">
        <f>+A103+1</f>
        <v>72</v>
      </c>
      <c r="B104" s="1037" t="str">
        <f>"Dividends on Preferred Stock (Lns "&amp;A89&amp;", "&amp;A95&amp;", "&amp;A101&amp;")"</f>
        <v>Dividends on Preferred Stock (Lns 60, 65, 70)</v>
      </c>
      <c r="C104" s="1071">
        <f>+C95+C89+C101</f>
        <v>0</v>
      </c>
      <c r="D104" s="1071">
        <f>+D95+D89+D101</f>
        <v>0</v>
      </c>
      <c r="E104" s="1072">
        <f>+E101+E95+E89</f>
        <v>0</v>
      </c>
      <c r="F104" s="1041"/>
      <c r="G104" s="1041"/>
    </row>
    <row r="105" spans="1:7" s="1042" customFormat="1" ht="12.75" customHeight="1" thickBot="1">
      <c r="A105" s="625">
        <f>+A104+1</f>
        <v>73</v>
      </c>
      <c r="B105" s="1073" t="str">
        <f>"Average Cost of Preferred Stock (Ln "&amp;A104&amp;"/"&amp;A103&amp;")"</f>
        <v>Average Cost of Preferred Stock (Ln 72/71)</v>
      </c>
      <c r="C105" s="1035">
        <f>IF(C103=0,0,C104/C103)</f>
        <v>0</v>
      </c>
      <c r="D105" s="1035">
        <f>IF(D103=0,0,D104/D103)</f>
        <v>0</v>
      </c>
      <c r="E105" s="1039">
        <f>IF(E103=0,0,+E104/E103)</f>
        <v>0</v>
      </c>
      <c r="F105" s="1041"/>
      <c r="G105" s="1041"/>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D263" sqref="D26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43" t="s">
        <v>116</v>
      </c>
    </row>
    <row r="2" spans="1:21" ht="15.75">
      <c r="A2" s="943" t="s">
        <v>116</v>
      </c>
    </row>
    <row r="3" spans="1:21" ht="18">
      <c r="A3" s="1540" t="s">
        <v>389</v>
      </c>
      <c r="B3" s="1540"/>
      <c r="C3" s="1540"/>
      <c r="D3" s="1540"/>
      <c r="E3" s="1540"/>
      <c r="F3" s="1540"/>
      <c r="G3" s="1540"/>
      <c r="H3" s="1540"/>
      <c r="I3" s="1540"/>
      <c r="J3" s="1540"/>
      <c r="K3" s="1540"/>
      <c r="L3" s="1540"/>
      <c r="M3" s="1540"/>
      <c r="N3" s="1540"/>
      <c r="O3" s="1540"/>
    </row>
    <row r="4" spans="1:21" ht="18">
      <c r="A4" s="1539" t="str">
        <f>"Cost of Service Formula Rate Using Actual/Projected FF1 Balances"</f>
        <v>Cost of Service Formula Rate Using Actual/Projected FF1 Balances</v>
      </c>
      <c r="B4" s="1539"/>
      <c r="C4" s="1539"/>
      <c r="D4" s="1539"/>
      <c r="E4" s="1539"/>
      <c r="F4" s="1539"/>
      <c r="G4" s="1539"/>
      <c r="H4" s="1539"/>
      <c r="I4" s="1539"/>
      <c r="J4" s="1539"/>
      <c r="K4" s="1539"/>
      <c r="L4" s="1539"/>
      <c r="M4" s="1539"/>
      <c r="N4" s="1539"/>
      <c r="O4" s="1539"/>
    </row>
    <row r="5" spans="1:21" ht="18">
      <c r="A5" s="1539" t="s">
        <v>241</v>
      </c>
      <c r="B5" s="1539"/>
      <c r="C5" s="1539"/>
      <c r="D5" s="1539"/>
      <c r="E5" s="1539"/>
      <c r="F5" s="1539"/>
      <c r="G5" s="1539"/>
      <c r="H5" s="1539"/>
      <c r="I5" s="1539"/>
      <c r="J5" s="1539"/>
      <c r="K5" s="1539"/>
      <c r="L5" s="1539"/>
      <c r="M5" s="1539"/>
      <c r="N5" s="1539"/>
      <c r="O5" s="1539"/>
    </row>
    <row r="6" spans="1:21" ht="18">
      <c r="A6" s="1534" t="str">
        <f>+TCOS!F9</f>
        <v>KENTUCKY POWER COMPANY</v>
      </c>
      <c r="B6" s="1534"/>
      <c r="C6" s="1534"/>
      <c r="D6" s="1534"/>
      <c r="E6" s="1534"/>
      <c r="F6" s="1534"/>
      <c r="G6" s="1534"/>
      <c r="H6" s="1534"/>
      <c r="I6" s="1534"/>
      <c r="J6" s="1534"/>
      <c r="K6" s="1534"/>
      <c r="L6" s="1534"/>
      <c r="M6" s="1534"/>
      <c r="N6" s="1534"/>
      <c r="O6" s="1534"/>
    </row>
    <row r="7" spans="1:21" ht="12.75" customHeight="1">
      <c r="A7" s="167"/>
      <c r="B7" s="167"/>
      <c r="C7" s="167"/>
      <c r="D7" s="167"/>
      <c r="E7" s="167"/>
      <c r="F7" s="167"/>
      <c r="G7" s="167"/>
      <c r="H7" s="167"/>
      <c r="I7" s="167"/>
      <c r="J7" s="167"/>
      <c r="K7" s="167"/>
      <c r="L7" s="167"/>
    </row>
    <row r="8" spans="1:21" ht="12.75" customHeight="1">
      <c r="A8" s="1567" t="s">
        <v>392</v>
      </c>
      <c r="B8" s="1567"/>
      <c r="C8" s="1567"/>
      <c r="D8" s="1567"/>
      <c r="E8" s="1567"/>
      <c r="F8" s="1567"/>
      <c r="G8" s="1567"/>
      <c r="H8" s="1567"/>
      <c r="I8" s="1567"/>
      <c r="J8" s="1567"/>
      <c r="K8" s="1567"/>
      <c r="L8" s="1567"/>
      <c r="M8" s="1567"/>
      <c r="N8" s="1567"/>
      <c r="O8" s="1567"/>
    </row>
    <row r="9" spans="1:21" ht="12.75" customHeight="1">
      <c r="A9" s="1567"/>
      <c r="B9" s="1567"/>
      <c r="C9" s="1567"/>
      <c r="D9" s="1567"/>
      <c r="E9" s="1567"/>
      <c r="F9" s="1567"/>
      <c r="G9" s="1567"/>
      <c r="H9" s="1567"/>
      <c r="I9" s="1567"/>
      <c r="J9" s="1567"/>
      <c r="K9" s="1567"/>
      <c r="L9" s="1567"/>
      <c r="M9" s="1567"/>
      <c r="N9" s="1567"/>
      <c r="O9" s="1567"/>
    </row>
    <row r="10" spans="1:21">
      <c r="A10" s="1567"/>
      <c r="B10" s="1567"/>
      <c r="C10" s="1567"/>
      <c r="D10" s="1567"/>
      <c r="E10" s="1567"/>
      <c r="F10" s="1567"/>
      <c r="G10" s="1567"/>
      <c r="H10" s="1567"/>
      <c r="I10" s="1567"/>
      <c r="J10" s="1567"/>
      <c r="K10" s="1567"/>
      <c r="L10" s="1567"/>
      <c r="M10" s="1567"/>
      <c r="N10" s="1567"/>
      <c r="O10" s="1567"/>
    </row>
    <row r="11" spans="1:21">
      <c r="A11" s="1567"/>
      <c r="B11" s="1567"/>
      <c r="C11" s="1567"/>
      <c r="D11" s="1567"/>
      <c r="E11" s="1567"/>
      <c r="F11" s="1567"/>
      <c r="G11" s="1567"/>
      <c r="H11" s="1567"/>
      <c r="I11" s="1567"/>
      <c r="J11" s="1567"/>
      <c r="K11" s="1567"/>
      <c r="L11" s="1567"/>
      <c r="M11" s="1567"/>
      <c r="N11" s="1567"/>
      <c r="O11" s="1567"/>
    </row>
    <row r="12" spans="1:21">
      <c r="B12" s="1" t="s">
        <v>164</v>
      </c>
      <c r="C12" s="1"/>
      <c r="D12" s="1566" t="s">
        <v>165</v>
      </c>
      <c r="E12" s="1566"/>
      <c r="F12" s="1566"/>
      <c r="G12" s="1566"/>
      <c r="H12" s="1"/>
      <c r="I12" s="1" t="s">
        <v>4</v>
      </c>
      <c r="J12" s="1"/>
      <c r="K12" s="1" t="s">
        <v>167</v>
      </c>
      <c r="L12" s="1"/>
      <c r="M12" s="1" t="s">
        <v>85</v>
      </c>
      <c r="N12" s="1"/>
      <c r="O12" s="1" t="s">
        <v>86</v>
      </c>
      <c r="P12" s="1"/>
      <c r="Q12" s="1" t="s">
        <v>20</v>
      </c>
      <c r="R12" s="1"/>
      <c r="S12" s="1" t="s">
        <v>92</v>
      </c>
      <c r="T12" s="1"/>
      <c r="U12" s="105" t="s">
        <v>502</v>
      </c>
    </row>
    <row r="13" spans="1:21">
      <c r="I13" s="1563" t="s">
        <v>18</v>
      </c>
      <c r="Q13" s="1562" t="s">
        <v>19</v>
      </c>
      <c r="S13" s="1563" t="s">
        <v>21</v>
      </c>
      <c r="U13" s="307" t="s">
        <v>81</v>
      </c>
    </row>
    <row r="14" spans="1:21">
      <c r="A14" s="176" t="s">
        <v>17</v>
      </c>
      <c r="B14" s="176" t="s">
        <v>13</v>
      </c>
      <c r="C14" s="176"/>
      <c r="D14" s="218" t="s">
        <v>14</v>
      </c>
      <c r="E14" s="176"/>
      <c r="F14" s="176"/>
      <c r="G14" s="176"/>
      <c r="H14" s="176"/>
      <c r="I14" s="1565"/>
      <c r="J14" s="176"/>
      <c r="K14" s="176" t="s">
        <v>15</v>
      </c>
      <c r="L14" s="176"/>
      <c r="M14" s="176" t="s">
        <v>16</v>
      </c>
      <c r="N14" s="176"/>
      <c r="O14" s="176" t="s">
        <v>495</v>
      </c>
      <c r="Q14" s="1562"/>
      <c r="S14" s="1563"/>
      <c r="U14" s="307" t="s">
        <v>308</v>
      </c>
    </row>
    <row r="15" spans="1:21">
      <c r="A15" s="176"/>
      <c r="B15" s="176"/>
      <c r="C15" s="176"/>
      <c r="D15" s="218"/>
      <c r="E15" s="176"/>
      <c r="F15" s="176"/>
      <c r="G15" s="176"/>
      <c r="H15" s="176"/>
      <c r="I15" s="3" t="s">
        <v>493</v>
      </c>
      <c r="J15" s="176"/>
      <c r="K15" s="176"/>
      <c r="L15" s="176"/>
      <c r="M15" s="176"/>
      <c r="N15" s="176"/>
      <c r="O15" s="176"/>
      <c r="Q15" s="244"/>
      <c r="S15" s="176" t="s">
        <v>495</v>
      </c>
    </row>
    <row r="16" spans="1:21">
      <c r="I16" t="s">
        <v>494</v>
      </c>
    </row>
    <row r="17" spans="1:21">
      <c r="A17" s="1">
        <v>1</v>
      </c>
      <c r="B17" s="920"/>
      <c r="D17" s="1564"/>
      <c r="E17" s="1564"/>
      <c r="F17" s="1564"/>
      <c r="G17" s="1564"/>
      <c r="I17" s="921"/>
      <c r="K17" s="919"/>
      <c r="L17" s="141"/>
      <c r="M17" s="919"/>
      <c r="O17" s="184">
        <f>+K17-M17</f>
        <v>0</v>
      </c>
      <c r="Q17" s="231">
        <f>IF(I17="G",TCOS!L241,IF(I17="T",1,0))</f>
        <v>0</v>
      </c>
      <c r="S17" s="184">
        <f>ROUND(O17*Q17,0)</f>
        <v>0</v>
      </c>
      <c r="U17" s="922"/>
    </row>
    <row r="18" spans="1:21">
      <c r="A18" s="1"/>
      <c r="D18" s="1564"/>
      <c r="E18" s="1564"/>
      <c r="F18" s="1564"/>
      <c r="G18" s="1564"/>
      <c r="K18" s="141"/>
      <c r="L18" s="141"/>
      <c r="M18" s="141"/>
      <c r="O18" s="141"/>
      <c r="Q18" s="231"/>
      <c r="S18" s="141"/>
    </row>
    <row r="19" spans="1:21">
      <c r="A19" s="1"/>
      <c r="D19" s="1564"/>
      <c r="E19" s="1564"/>
      <c r="F19" s="1564"/>
      <c r="G19" s="1564"/>
      <c r="K19" s="141"/>
      <c r="L19" s="141"/>
      <c r="M19" s="141"/>
      <c r="O19" s="141"/>
      <c r="Q19" s="231"/>
      <c r="S19" s="141"/>
    </row>
    <row r="20" spans="1:21">
      <c r="A20" s="1"/>
      <c r="K20" s="141"/>
      <c r="L20" s="141"/>
      <c r="M20" s="141"/>
      <c r="O20" s="141"/>
      <c r="Q20" s="231"/>
      <c r="S20" s="141"/>
    </row>
    <row r="21" spans="1:21">
      <c r="A21" s="1"/>
      <c r="K21" s="141"/>
      <c r="L21" s="141"/>
      <c r="M21" s="141"/>
      <c r="O21" s="141"/>
      <c r="Q21" s="231"/>
      <c r="S21" s="141"/>
    </row>
    <row r="22" spans="1:21" ht="12" customHeight="1">
      <c r="A22" s="1">
        <f>+A17+1</f>
        <v>2</v>
      </c>
      <c r="B22" s="920"/>
      <c r="D22" s="1564"/>
      <c r="E22" s="1564"/>
      <c r="F22" s="1564"/>
      <c r="G22" s="1564"/>
      <c r="I22" s="921"/>
      <c r="K22" s="919"/>
      <c r="L22" s="141"/>
      <c r="M22" s="919"/>
      <c r="O22" s="184">
        <f>+K22-M22</f>
        <v>0</v>
      </c>
      <c r="Q22" s="231">
        <f>IF(I22="G",TCOS!L241,IF(I22="T",1,0))</f>
        <v>0</v>
      </c>
      <c r="S22" s="184">
        <f>ROUND(O22*Q22,0)</f>
        <v>0</v>
      </c>
      <c r="U22" s="922"/>
    </row>
    <row r="23" spans="1:21">
      <c r="A23" s="1"/>
      <c r="D23" s="1564"/>
      <c r="E23" s="1564"/>
      <c r="F23" s="1564"/>
      <c r="G23" s="1564"/>
      <c r="K23" s="141"/>
      <c r="L23" s="141"/>
      <c r="M23" s="141"/>
      <c r="O23" s="141"/>
      <c r="Q23" s="231"/>
      <c r="S23" s="141"/>
    </row>
    <row r="24" spans="1:21">
      <c r="A24" s="1"/>
      <c r="D24" s="1564"/>
      <c r="E24" s="1564"/>
      <c r="F24" s="1564"/>
      <c r="G24" s="1564"/>
      <c r="K24" s="141"/>
      <c r="L24" s="141"/>
      <c r="M24" s="141"/>
      <c r="O24" s="141"/>
      <c r="Q24" s="231"/>
      <c r="S24" s="141"/>
    </row>
    <row r="25" spans="1:21">
      <c r="A25" s="1"/>
      <c r="I25" s="1"/>
      <c r="K25" s="141"/>
      <c r="L25" s="141"/>
      <c r="M25" s="141"/>
      <c r="O25" s="141"/>
      <c r="Q25" s="231"/>
      <c r="S25" s="141"/>
    </row>
    <row r="26" spans="1:21">
      <c r="A26" s="1"/>
      <c r="I26" s="1"/>
      <c r="K26" s="141"/>
      <c r="L26" s="141"/>
      <c r="M26" s="141"/>
      <c r="O26" s="141"/>
      <c r="Q26" s="231"/>
      <c r="S26" s="141"/>
    </row>
    <row r="27" spans="1:21">
      <c r="A27" s="1">
        <f>+A22+1</f>
        <v>3</v>
      </c>
      <c r="B27" s="920"/>
      <c r="D27" s="1564"/>
      <c r="E27" s="1564"/>
      <c r="F27" s="1564"/>
      <c r="G27" s="1564"/>
      <c r="I27" s="921"/>
      <c r="K27" s="919"/>
      <c r="L27" s="141"/>
      <c r="M27" s="919"/>
      <c r="O27" s="184">
        <f>+K27-M27</f>
        <v>0</v>
      </c>
      <c r="Q27" s="231">
        <f>IF(I27="G",TCOS!L241,IF(I27="T",1,0))</f>
        <v>0</v>
      </c>
      <c r="S27" s="184">
        <f>ROUND(O27*Q27,0)</f>
        <v>0</v>
      </c>
      <c r="U27" s="922"/>
    </row>
    <row r="28" spans="1:21">
      <c r="A28" s="1"/>
      <c r="D28" s="1564"/>
      <c r="E28" s="1564"/>
      <c r="F28" s="1564"/>
      <c r="G28" s="1564"/>
      <c r="K28" s="141"/>
      <c r="L28" s="141"/>
      <c r="M28" s="141"/>
      <c r="O28" s="141"/>
      <c r="Q28" s="231"/>
      <c r="S28" s="141"/>
    </row>
    <row r="29" spans="1:21">
      <c r="A29" s="1"/>
      <c r="D29" s="1564"/>
      <c r="E29" s="1564"/>
      <c r="F29" s="1564"/>
      <c r="G29" s="1564"/>
      <c r="K29" s="141"/>
      <c r="L29" s="141"/>
      <c r="M29" s="141"/>
      <c r="O29" s="141"/>
      <c r="Q29" s="231"/>
    </row>
    <row r="30" spans="1:21">
      <c r="A30" s="1"/>
      <c r="O30" s="141"/>
      <c r="Q30" s="231"/>
    </row>
    <row r="31" spans="1:21">
      <c r="A31" s="1"/>
      <c r="O31" s="141"/>
      <c r="Q31" s="231"/>
    </row>
    <row r="32" spans="1:21">
      <c r="A32" s="1"/>
      <c r="O32" s="141"/>
      <c r="Q32" s="231"/>
    </row>
    <row r="33" spans="1:19" ht="13.5" thickBot="1">
      <c r="A33" s="1">
        <f>+A27+1</f>
        <v>4</v>
      </c>
      <c r="K33" t="str">
        <f>"Net (Gain) or Loss for "&amp;TCOS!L4&amp;""</f>
        <v>Net (Gain) or Loss for 2020</v>
      </c>
      <c r="O33" s="242">
        <f>SUM(O17:O27)</f>
        <v>0</v>
      </c>
      <c r="Q33" s="243"/>
      <c r="S33" s="242">
        <f>SUM(S17:S27)</f>
        <v>0</v>
      </c>
    </row>
    <row r="34" spans="1:19" ht="13.5" thickTop="1">
      <c r="A34" s="1"/>
      <c r="O34" s="141"/>
      <c r="Q34" s="243"/>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4"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topLeftCell="A55" zoomScale="85" zoomScaleNormal="100" zoomScaleSheetLayoutView="85" zoomScalePageLayoutView="50" workbookViewId="0">
      <selection activeCell="D263" sqref="D263"/>
    </sheetView>
  </sheetViews>
  <sheetFormatPr defaultColWidth="11.42578125" defaultRowHeight="12.75"/>
  <cols>
    <col min="1" max="1" width="10.42578125" style="947" customWidth="1"/>
    <col min="2" max="2" width="64.5703125" style="237" customWidth="1"/>
    <col min="3" max="3" width="26.5703125" style="237" bestFit="1" customWidth="1"/>
    <col min="4" max="11" width="20.42578125" style="237" customWidth="1"/>
    <col min="12" max="12" width="20" style="237" customWidth="1"/>
    <col min="13" max="14" width="15.140625" style="237" customWidth="1"/>
    <col min="15" max="16384" width="11.42578125" style="237"/>
  </cols>
  <sheetData>
    <row r="1" spans="1:12" ht="15">
      <c r="A1" s="1496" t="s">
        <v>389</v>
      </c>
      <c r="B1" s="1496"/>
      <c r="C1" s="1496"/>
      <c r="D1" s="1496"/>
      <c r="E1" s="1496"/>
      <c r="F1" s="1496"/>
      <c r="G1" s="1496"/>
      <c r="H1" s="951"/>
      <c r="I1" s="951"/>
    </row>
    <row r="2" spans="1:12" ht="15">
      <c r="A2" s="1497" t="str">
        <f>"Cost of Service Formula Rate Using Actual/Projected FF1 Balances"</f>
        <v>Cost of Service Formula Rate Using Actual/Projected FF1 Balances</v>
      </c>
      <c r="B2" s="1497"/>
      <c r="C2" s="1497"/>
      <c r="D2" s="1497"/>
      <c r="E2" s="1497"/>
      <c r="F2" s="1497"/>
      <c r="G2" s="1497"/>
      <c r="H2" s="951"/>
      <c r="I2" s="951"/>
      <c r="J2" s="951"/>
      <c r="L2" s="990"/>
    </row>
    <row r="3" spans="1:12" ht="15">
      <c r="A3" s="1497" t="s">
        <v>664</v>
      </c>
      <c r="B3" s="1497"/>
      <c r="C3" s="1497"/>
      <c r="D3" s="1497"/>
      <c r="E3" s="1497"/>
      <c r="F3" s="1497"/>
      <c r="G3" s="1497"/>
      <c r="H3" s="951"/>
      <c r="I3" s="951"/>
      <c r="J3" s="951"/>
    </row>
    <row r="4" spans="1:12" ht="15">
      <c r="A4" s="1504" t="str">
        <f>TCOS!F9</f>
        <v>KENTUCKY POWER COMPANY</v>
      </c>
      <c r="B4" s="1504"/>
      <c r="C4" s="1504"/>
      <c r="D4" s="1504"/>
      <c r="E4" s="1504"/>
      <c r="F4" s="1504"/>
      <c r="G4" s="1504"/>
      <c r="H4" s="951"/>
      <c r="I4" s="951"/>
      <c r="J4" s="951"/>
    </row>
    <row r="5" spans="1:12">
      <c r="A5" s="951"/>
      <c r="B5" s="986"/>
      <c r="C5" s="986"/>
      <c r="D5" s="986"/>
      <c r="E5" s="989"/>
      <c r="F5" s="988"/>
      <c r="H5" s="988"/>
      <c r="J5" s="988"/>
      <c r="L5" s="988"/>
    </row>
    <row r="6" spans="1:12" ht="12.75" customHeight="1">
      <c r="A6" s="951"/>
      <c r="B6" s="986"/>
      <c r="C6" s="1498" t="s">
        <v>663</v>
      </c>
      <c r="D6" s="1499"/>
      <c r="E6" s="1499"/>
      <c r="F6" s="1499"/>
      <c r="G6" s="1499"/>
      <c r="H6" s="1499"/>
      <c r="I6" s="1499"/>
      <c r="J6" s="1499"/>
      <c r="K6" s="1500"/>
      <c r="L6" s="6"/>
    </row>
    <row r="7" spans="1:12" s="983" customFormat="1" ht="25.5">
      <c r="A7" s="985" t="s">
        <v>653</v>
      </c>
      <c r="B7" s="984" t="s">
        <v>652</v>
      </c>
      <c r="C7" s="966" t="s">
        <v>231</v>
      </c>
      <c r="D7" s="966" t="s">
        <v>661</v>
      </c>
      <c r="E7" s="966" t="s">
        <v>117</v>
      </c>
      <c r="F7" s="966" t="s">
        <v>660</v>
      </c>
      <c r="G7" s="966" t="s">
        <v>440</v>
      </c>
      <c r="H7" s="966" t="s">
        <v>659</v>
      </c>
      <c r="I7" s="966" t="s">
        <v>336</v>
      </c>
      <c r="J7" s="966" t="s">
        <v>658</v>
      </c>
      <c r="K7" s="965" t="s">
        <v>657</v>
      </c>
      <c r="L7" s="6"/>
    </row>
    <row r="8" spans="1:12" s="958" customFormat="1">
      <c r="A8" s="956"/>
      <c r="B8" s="963" t="s">
        <v>647</v>
      </c>
      <c r="C8" s="962" t="s">
        <v>646</v>
      </c>
      <c r="D8" s="962" t="s">
        <v>645</v>
      </c>
      <c r="E8" s="962" t="s">
        <v>644</v>
      </c>
      <c r="F8" s="962" t="s">
        <v>643</v>
      </c>
      <c r="G8" s="962" t="s">
        <v>665</v>
      </c>
      <c r="H8" s="962" t="s">
        <v>666</v>
      </c>
      <c r="I8" s="962" t="s">
        <v>656</v>
      </c>
      <c r="J8" s="962" t="s">
        <v>655</v>
      </c>
      <c r="K8" s="982" t="s">
        <v>654</v>
      </c>
      <c r="L8" s="6"/>
    </row>
    <row r="9" spans="1:12" s="958" customFormat="1" ht="44.25" customHeight="1">
      <c r="A9" s="956"/>
      <c r="B9" s="963" t="s">
        <v>642</v>
      </c>
      <c r="C9" s="981" t="s">
        <v>444</v>
      </c>
      <c r="D9" s="981" t="s">
        <v>449</v>
      </c>
      <c r="E9" s="981" t="s">
        <v>445</v>
      </c>
      <c r="F9" s="981" t="s">
        <v>667</v>
      </c>
      <c r="G9" s="981" t="s">
        <v>446</v>
      </c>
      <c r="H9" s="981" t="s">
        <v>447</v>
      </c>
      <c r="I9" s="981" t="s">
        <v>668</v>
      </c>
      <c r="J9" s="981" t="s">
        <v>669</v>
      </c>
      <c r="K9" s="980" t="s">
        <v>448</v>
      </c>
      <c r="L9" s="6"/>
    </row>
    <row r="10" spans="1:12">
      <c r="A10" s="956">
        <v>1</v>
      </c>
      <c r="B10" s="979" t="s">
        <v>640</v>
      </c>
      <c r="C10" s="1285">
        <v>1218009026.27</v>
      </c>
      <c r="D10" s="1285">
        <v>13203292</v>
      </c>
      <c r="E10" s="1285">
        <v>651090935.45000005</v>
      </c>
      <c r="F10" s="1285">
        <v>0</v>
      </c>
      <c r="G10" s="1285">
        <v>896690843.94999993</v>
      </c>
      <c r="H10" s="1285">
        <v>0</v>
      </c>
      <c r="I10" s="1285">
        <v>53354310</v>
      </c>
      <c r="J10" s="1285">
        <v>81055</v>
      </c>
      <c r="K10" s="1284">
        <v>47096736</v>
      </c>
      <c r="L10" s="6"/>
    </row>
    <row r="11" spans="1:12">
      <c r="A11" s="956">
        <f>+A10+1</f>
        <v>2</v>
      </c>
      <c r="B11" s="979" t="s">
        <v>187</v>
      </c>
      <c r="C11" s="1285">
        <v>1218402259.3199999</v>
      </c>
      <c r="D11" s="1285">
        <v>13203292.560000001</v>
      </c>
      <c r="E11" s="1285">
        <v>652844497.03000021</v>
      </c>
      <c r="F11" s="1285">
        <v>0</v>
      </c>
      <c r="G11" s="1285">
        <v>900070182.42000008</v>
      </c>
      <c r="H11" s="1285">
        <v>0</v>
      </c>
      <c r="I11" s="1285">
        <v>53609619.850000009</v>
      </c>
      <c r="J11" s="1285">
        <v>81054.350000000006</v>
      </c>
      <c r="K11" s="1284">
        <v>47713885.589999996</v>
      </c>
      <c r="L11" s="6"/>
    </row>
    <row r="12" spans="1:12">
      <c r="A12" s="956">
        <f t="shared" ref="A12:A23" si="0">+A11+1</f>
        <v>3</v>
      </c>
      <c r="B12" s="978" t="s">
        <v>561</v>
      </c>
      <c r="C12" s="1285">
        <v>1218578746.73</v>
      </c>
      <c r="D12" s="1285">
        <v>13203292.560000001</v>
      </c>
      <c r="E12" s="1285">
        <v>654893040.65999997</v>
      </c>
      <c r="F12" s="1285">
        <v>0</v>
      </c>
      <c r="G12" s="1285">
        <v>914913835.74999988</v>
      </c>
      <c r="H12" s="1285">
        <v>0</v>
      </c>
      <c r="I12" s="1285">
        <v>54095969.019999996</v>
      </c>
      <c r="J12" s="1285">
        <v>81054.350000000006</v>
      </c>
      <c r="K12" s="1284">
        <v>48327708.949999996</v>
      </c>
      <c r="L12" s="6"/>
    </row>
    <row r="13" spans="1:12">
      <c r="A13" s="956">
        <f t="shared" si="0"/>
        <v>4</v>
      </c>
      <c r="B13" s="978" t="s">
        <v>639</v>
      </c>
      <c r="C13" s="1285">
        <v>1226470820.73</v>
      </c>
      <c r="D13" s="1285">
        <v>13203292.560000001</v>
      </c>
      <c r="E13" s="1285">
        <v>655225905.4000001</v>
      </c>
      <c r="F13" s="1285">
        <v>0</v>
      </c>
      <c r="G13" s="1285">
        <v>918740318.35000014</v>
      </c>
      <c r="H13" s="1285">
        <v>0</v>
      </c>
      <c r="I13" s="1285">
        <v>55492924.970000006</v>
      </c>
      <c r="J13" s="1285">
        <v>81054.350000000006</v>
      </c>
      <c r="K13" s="1284">
        <v>47876039.629999995</v>
      </c>
      <c r="L13" s="6"/>
    </row>
    <row r="14" spans="1:12">
      <c r="A14" s="956">
        <f t="shared" si="0"/>
        <v>5</v>
      </c>
      <c r="B14" s="978" t="s">
        <v>189</v>
      </c>
      <c r="C14" s="1285">
        <v>1226503522.2999997</v>
      </c>
      <c r="D14" s="1285">
        <v>13203292.560000001</v>
      </c>
      <c r="E14" s="1285">
        <v>654036781.57000005</v>
      </c>
      <c r="F14" s="1285">
        <v>0</v>
      </c>
      <c r="G14" s="1285">
        <v>925711925.05000007</v>
      </c>
      <c r="H14" s="1285">
        <v>0</v>
      </c>
      <c r="I14" s="1285">
        <v>55545836.420000017</v>
      </c>
      <c r="J14" s="1285">
        <v>81054.350000000006</v>
      </c>
      <c r="K14" s="1284">
        <v>48503621.609999985</v>
      </c>
      <c r="L14" s="6"/>
    </row>
    <row r="15" spans="1:12">
      <c r="A15" s="956">
        <f t="shared" si="0"/>
        <v>6</v>
      </c>
      <c r="B15" s="978" t="s">
        <v>190</v>
      </c>
      <c r="C15" s="1285">
        <v>1222337954.7100003</v>
      </c>
      <c r="D15" s="1285">
        <v>13203292.560000001</v>
      </c>
      <c r="E15" s="1285">
        <v>663893773.24000001</v>
      </c>
      <c r="F15" s="1285">
        <v>0</v>
      </c>
      <c r="G15" s="1285">
        <v>931313824.08000004</v>
      </c>
      <c r="H15" s="1285">
        <v>0</v>
      </c>
      <c r="I15" s="1285">
        <v>56605575.969999999</v>
      </c>
      <c r="J15" s="1285">
        <v>81054.350000000006</v>
      </c>
      <c r="K15" s="1284">
        <v>48961425.070000008</v>
      </c>
      <c r="L15" s="6"/>
    </row>
    <row r="16" spans="1:12">
      <c r="A16" s="956">
        <f t="shared" si="0"/>
        <v>7</v>
      </c>
      <c r="B16" s="978" t="s">
        <v>384</v>
      </c>
      <c r="C16" s="1285">
        <v>1222122690.5699999</v>
      </c>
      <c r="D16" s="1285">
        <v>13203292.560000001</v>
      </c>
      <c r="E16" s="1285">
        <v>665400344.54000008</v>
      </c>
      <c r="F16" s="1285">
        <v>0</v>
      </c>
      <c r="G16" s="1285">
        <v>933807393.5599997</v>
      </c>
      <c r="H16" s="1285">
        <v>0</v>
      </c>
      <c r="I16" s="1285">
        <v>56660969.850000016</v>
      </c>
      <c r="J16" s="1285">
        <v>158819.18</v>
      </c>
      <c r="K16" s="1284">
        <v>51747459.650000006</v>
      </c>
      <c r="L16" s="6"/>
    </row>
    <row r="17" spans="1:12">
      <c r="A17" s="956">
        <f t="shared" si="0"/>
        <v>8</v>
      </c>
      <c r="B17" s="978" t="s">
        <v>191</v>
      </c>
      <c r="C17" s="1285">
        <v>1228148087.1700003</v>
      </c>
      <c r="D17" s="1285">
        <v>13203292.560000001</v>
      </c>
      <c r="E17" s="1285">
        <v>665808786.30000019</v>
      </c>
      <c r="F17" s="1285">
        <v>0</v>
      </c>
      <c r="G17" s="1285">
        <v>936820144.34999979</v>
      </c>
      <c r="H17" s="1285">
        <v>0</v>
      </c>
      <c r="I17" s="1285">
        <v>57470887.440000027</v>
      </c>
      <c r="J17" s="1285">
        <v>158819.18</v>
      </c>
      <c r="K17" s="1284">
        <v>52390300.589999996</v>
      </c>
      <c r="L17" s="6"/>
    </row>
    <row r="18" spans="1:12">
      <c r="A18" s="956">
        <f t="shared" si="0"/>
        <v>9</v>
      </c>
      <c r="B18" s="978" t="s">
        <v>638</v>
      </c>
      <c r="C18" s="1285">
        <v>1228338265.0299997</v>
      </c>
      <c r="D18" s="1285">
        <v>13203292.560000001</v>
      </c>
      <c r="E18" s="1285">
        <v>668537264.46999991</v>
      </c>
      <c r="F18" s="1285">
        <v>0</v>
      </c>
      <c r="G18" s="1285">
        <v>941713326.5</v>
      </c>
      <c r="H18" s="1285">
        <v>0</v>
      </c>
      <c r="I18" s="1285">
        <v>57525533.470000006</v>
      </c>
      <c r="J18" s="1285">
        <v>158819.18</v>
      </c>
      <c r="K18" s="1284">
        <v>53094014.050000004</v>
      </c>
      <c r="L18" s="6"/>
    </row>
    <row r="19" spans="1:12">
      <c r="A19" s="956">
        <f t="shared" si="0"/>
        <v>10</v>
      </c>
      <c r="B19" s="978" t="s">
        <v>194</v>
      </c>
      <c r="C19" s="1285">
        <v>1227906308.5</v>
      </c>
      <c r="D19" s="1285">
        <v>12766701.220000001</v>
      </c>
      <c r="E19" s="1285">
        <v>669953364.50999975</v>
      </c>
      <c r="F19" s="1285">
        <v>0</v>
      </c>
      <c r="G19" s="1285">
        <v>944189186.21000004</v>
      </c>
      <c r="H19" s="1285">
        <v>0</v>
      </c>
      <c r="I19" s="1285">
        <v>57699522.169999994</v>
      </c>
      <c r="J19" s="1285">
        <v>158819.18</v>
      </c>
      <c r="K19" s="1284">
        <v>52816694.479999997</v>
      </c>
      <c r="L19" s="6"/>
    </row>
    <row r="20" spans="1:12">
      <c r="A20" s="956">
        <f t="shared" si="0"/>
        <v>11</v>
      </c>
      <c r="B20" s="978" t="s">
        <v>562</v>
      </c>
      <c r="C20" s="1285">
        <v>1228490589.3699999</v>
      </c>
      <c r="D20" s="1285">
        <v>12766701.220000001</v>
      </c>
      <c r="E20" s="1285">
        <v>671817518.41000009</v>
      </c>
      <c r="F20" s="1285">
        <v>0</v>
      </c>
      <c r="G20" s="1285">
        <v>947726698.16000032</v>
      </c>
      <c r="H20" s="1285">
        <v>0</v>
      </c>
      <c r="I20" s="1285">
        <v>56208670.829999998</v>
      </c>
      <c r="J20" s="1285">
        <v>158819.18</v>
      </c>
      <c r="K20" s="1284">
        <v>53414329.43</v>
      </c>
      <c r="L20" s="6"/>
    </row>
    <row r="21" spans="1:12">
      <c r="A21" s="956">
        <f t="shared" si="0"/>
        <v>12</v>
      </c>
      <c r="B21" s="978" t="s">
        <v>563</v>
      </c>
      <c r="C21" s="1285">
        <v>1228992834.1899998</v>
      </c>
      <c r="D21" s="1285">
        <v>12766701.220000001</v>
      </c>
      <c r="E21" s="1285">
        <v>676334052.29999995</v>
      </c>
      <c r="F21" s="1285">
        <v>0</v>
      </c>
      <c r="G21" s="1285">
        <v>947874534.86000013</v>
      </c>
      <c r="H21" s="1285">
        <v>0</v>
      </c>
      <c r="I21" s="1285">
        <v>56516812.049999997</v>
      </c>
      <c r="J21" s="1285">
        <v>158819.18</v>
      </c>
      <c r="K21" s="1284">
        <v>54341264.550000004</v>
      </c>
      <c r="L21" s="6"/>
    </row>
    <row r="22" spans="1:12">
      <c r="A22" s="954">
        <f t="shared" si="0"/>
        <v>13</v>
      </c>
      <c r="B22" s="977" t="s">
        <v>637</v>
      </c>
      <c r="C22" s="1447">
        <v>1229981239.4900005</v>
      </c>
      <c r="D22" s="1448">
        <v>12837949.42</v>
      </c>
      <c r="E22" s="1448">
        <v>703308495.64999986</v>
      </c>
      <c r="F22" s="1448">
        <v>0</v>
      </c>
      <c r="G22" s="1448">
        <v>954945288.25999999</v>
      </c>
      <c r="H22" s="1448">
        <v>0</v>
      </c>
      <c r="I22" s="1448">
        <v>56837941.519999996</v>
      </c>
      <c r="J22" s="1448">
        <v>158819.18</v>
      </c>
      <c r="K22" s="1449">
        <v>51846723.829999998</v>
      </c>
      <c r="L22" s="6"/>
    </row>
    <row r="23" spans="1:12" ht="13.5" thickBot="1">
      <c r="A23" s="1227">
        <f t="shared" si="0"/>
        <v>14</v>
      </c>
      <c r="B23" s="1228" t="s">
        <v>870</v>
      </c>
      <c r="C23" s="1444">
        <f>SUM(C10:C22)/13</f>
        <v>1224944795.7215385</v>
      </c>
      <c r="D23" s="1445">
        <f>SUM(D10:D22)/13</f>
        <v>13074437.350769231</v>
      </c>
      <c r="E23" s="1445">
        <f t="shared" ref="E23:K23" si="1">SUM(E10:E22)/13</f>
        <v>665626519.96384621</v>
      </c>
      <c r="F23" s="1445">
        <f t="shared" si="1"/>
        <v>0</v>
      </c>
      <c r="G23" s="1445">
        <f t="shared" si="1"/>
        <v>930347500.11538458</v>
      </c>
      <c r="H23" s="1445">
        <f t="shared" si="1"/>
        <v>0</v>
      </c>
      <c r="I23" s="1445">
        <f t="shared" si="1"/>
        <v>55971121.043076925</v>
      </c>
      <c r="J23" s="1445">
        <f t="shared" si="1"/>
        <v>122927.76999999996</v>
      </c>
      <c r="K23" s="1446">
        <f t="shared" si="1"/>
        <v>50625400.263846152</v>
      </c>
      <c r="L23" s="6"/>
    </row>
    <row r="24" spans="1:12" ht="13.5" thickTop="1">
      <c r="A24" s="951"/>
      <c r="B24" s="950"/>
      <c r="C24" s="974"/>
      <c r="D24" s="948"/>
      <c r="E24" s="948"/>
      <c r="F24" s="948"/>
      <c r="G24" s="974"/>
      <c r="H24" s="974"/>
      <c r="I24" s="974"/>
      <c r="J24" s="987"/>
      <c r="K24" s="987"/>
      <c r="L24" s="6"/>
    </row>
    <row r="25" spans="1:12" ht="12.75" customHeight="1">
      <c r="A25" s="951"/>
      <c r="B25" s="986"/>
      <c r="C25" s="1501" t="s">
        <v>662</v>
      </c>
      <c r="D25" s="1502"/>
      <c r="E25" s="1502"/>
      <c r="F25" s="1502"/>
      <c r="G25" s="1502"/>
      <c r="H25" s="1502"/>
      <c r="I25" s="1502"/>
      <c r="J25" s="1502"/>
      <c r="K25" s="1503"/>
      <c r="L25" s="6"/>
    </row>
    <row r="26" spans="1:12" s="983" customFormat="1" ht="25.5">
      <c r="A26" s="985" t="s">
        <v>653</v>
      </c>
      <c r="B26" s="984" t="s">
        <v>652</v>
      </c>
      <c r="C26" s="966" t="s">
        <v>231</v>
      </c>
      <c r="D26" s="966" t="s">
        <v>661</v>
      </c>
      <c r="E26" s="966" t="s">
        <v>117</v>
      </c>
      <c r="F26" s="966" t="s">
        <v>660</v>
      </c>
      <c r="G26" s="966" t="s">
        <v>440</v>
      </c>
      <c r="H26" s="966" t="s">
        <v>659</v>
      </c>
      <c r="I26" s="966" t="s">
        <v>336</v>
      </c>
      <c r="J26" s="966" t="s">
        <v>658</v>
      </c>
      <c r="K26" s="965" t="s">
        <v>657</v>
      </c>
      <c r="L26" s="6"/>
    </row>
    <row r="27" spans="1:12" s="958" customFormat="1">
      <c r="A27" s="956"/>
      <c r="B27" s="963" t="s">
        <v>647</v>
      </c>
      <c r="C27" s="962" t="s">
        <v>646</v>
      </c>
      <c r="D27" s="962" t="s">
        <v>645</v>
      </c>
      <c r="E27" s="962" t="s">
        <v>644</v>
      </c>
      <c r="F27" s="962" t="s">
        <v>643</v>
      </c>
      <c r="G27" s="962" t="s">
        <v>665</v>
      </c>
      <c r="H27" s="962" t="s">
        <v>666</v>
      </c>
      <c r="I27" s="962" t="s">
        <v>656</v>
      </c>
      <c r="J27" s="962" t="s">
        <v>655</v>
      </c>
      <c r="K27" s="982" t="s">
        <v>654</v>
      </c>
      <c r="L27" s="6"/>
    </row>
    <row r="28" spans="1:12" s="958" customFormat="1" ht="44.25" customHeight="1">
      <c r="A28" s="956"/>
      <c r="B28" s="963" t="s">
        <v>642</v>
      </c>
      <c r="C28" s="981" t="s">
        <v>381</v>
      </c>
      <c r="D28" s="981" t="s">
        <v>670</v>
      </c>
      <c r="E28" s="981" t="s">
        <v>382</v>
      </c>
      <c r="F28" s="981" t="s">
        <v>671</v>
      </c>
      <c r="G28" s="981" t="s">
        <v>509</v>
      </c>
      <c r="H28" s="981" t="s">
        <v>672</v>
      </c>
      <c r="I28" s="981" t="s">
        <v>483</v>
      </c>
      <c r="J28" s="981" t="s">
        <v>673</v>
      </c>
      <c r="K28" s="980" t="s">
        <v>510</v>
      </c>
      <c r="L28" s="6"/>
    </row>
    <row r="29" spans="1:12">
      <c r="A29" s="956">
        <f>+A23+1</f>
        <v>15</v>
      </c>
      <c r="B29" s="979" t="s">
        <v>640</v>
      </c>
      <c r="C29" s="1285">
        <v>494846967.02999997</v>
      </c>
      <c r="D29" s="1285">
        <v>5146208.7300000004</v>
      </c>
      <c r="E29" s="1285">
        <v>224777569.91</v>
      </c>
      <c r="F29" s="1285">
        <v>0</v>
      </c>
      <c r="G29" s="1285">
        <v>268613000</v>
      </c>
      <c r="H29" s="1285">
        <v>0</v>
      </c>
      <c r="I29" s="1285">
        <v>18304898.829999998</v>
      </c>
      <c r="J29" s="1285">
        <v>50545.62</v>
      </c>
      <c r="K29" s="1284">
        <v>19623755.859999999</v>
      </c>
      <c r="L29" s="6"/>
    </row>
    <row r="30" spans="1:12">
      <c r="A30" s="956">
        <f>+A29+1</f>
        <v>16</v>
      </c>
      <c r="B30" s="979" t="s">
        <v>187</v>
      </c>
      <c r="C30" s="1285">
        <v>497405043.73000002</v>
      </c>
      <c r="D30" s="1285">
        <v>5188357.9400000004</v>
      </c>
      <c r="E30" s="1285">
        <v>226176539.99000001</v>
      </c>
      <c r="F30" s="1285">
        <v>0</v>
      </c>
      <c r="G30" s="1285">
        <v>269833778.87999994</v>
      </c>
      <c r="H30" s="1285">
        <v>0</v>
      </c>
      <c r="I30" s="1285">
        <v>18503927.859999992</v>
      </c>
      <c r="J30" s="1285">
        <v>51014.99</v>
      </c>
      <c r="K30" s="1284">
        <v>20186442.370000005</v>
      </c>
      <c r="L30" s="6"/>
    </row>
    <row r="31" spans="1:12">
      <c r="A31" s="956">
        <f t="shared" ref="A31:A42" si="2">+A30+1</f>
        <v>17</v>
      </c>
      <c r="B31" s="978" t="s">
        <v>561</v>
      </c>
      <c r="C31" s="1285">
        <v>500395940.54999995</v>
      </c>
      <c r="D31" s="1285">
        <v>5230507.1400000006</v>
      </c>
      <c r="E31" s="1285">
        <v>227570131.42000002</v>
      </c>
      <c r="F31" s="1285">
        <v>0</v>
      </c>
      <c r="G31" s="1285">
        <v>270607355.69999999</v>
      </c>
      <c r="H31" s="1285">
        <v>0</v>
      </c>
      <c r="I31" s="1285">
        <v>18698893.34</v>
      </c>
      <c r="J31" s="1285">
        <v>51484.36</v>
      </c>
      <c r="K31" s="1284">
        <v>20759190.259999998</v>
      </c>
      <c r="L31" s="6"/>
    </row>
    <row r="32" spans="1:12">
      <c r="A32" s="956">
        <f t="shared" si="2"/>
        <v>18</v>
      </c>
      <c r="B32" s="978" t="s">
        <v>639</v>
      </c>
      <c r="C32" s="1285">
        <v>502805172.69999999</v>
      </c>
      <c r="D32" s="1285">
        <v>5272656.3499999996</v>
      </c>
      <c r="E32" s="1285">
        <v>228809002.49000001</v>
      </c>
      <c r="F32" s="1285">
        <v>0</v>
      </c>
      <c r="G32" s="1285">
        <v>271935419.21000004</v>
      </c>
      <c r="H32" s="1285">
        <v>0</v>
      </c>
      <c r="I32" s="1285">
        <v>18925990.840000007</v>
      </c>
      <c r="J32" s="1285">
        <v>51953.73</v>
      </c>
      <c r="K32" s="1284">
        <v>19971816.659999993</v>
      </c>
      <c r="L32" s="6"/>
    </row>
    <row r="33" spans="1:12">
      <c r="A33" s="956">
        <f t="shared" si="2"/>
        <v>19</v>
      </c>
      <c r="B33" s="978" t="s">
        <v>189</v>
      </c>
      <c r="C33" s="1285">
        <v>505438181.32000005</v>
      </c>
      <c r="D33" s="1285">
        <v>5314805.540000001</v>
      </c>
      <c r="E33" s="1285">
        <v>230204266.94999999</v>
      </c>
      <c r="F33" s="1285">
        <v>0</v>
      </c>
      <c r="G33" s="1285">
        <v>272047852.41000003</v>
      </c>
      <c r="H33" s="1285">
        <v>0</v>
      </c>
      <c r="I33" s="1285">
        <v>19125188.109999996</v>
      </c>
      <c r="J33" s="1285">
        <v>52423.090000000004</v>
      </c>
      <c r="K33" s="1284">
        <v>20569908.52</v>
      </c>
      <c r="L33" s="6"/>
    </row>
    <row r="34" spans="1:12">
      <c r="A34" s="956">
        <f t="shared" si="2"/>
        <v>20</v>
      </c>
      <c r="B34" s="978" t="s">
        <v>190</v>
      </c>
      <c r="C34" s="1285">
        <v>508260441.38999999</v>
      </c>
      <c r="D34" s="1285">
        <v>5356954.76</v>
      </c>
      <c r="E34" s="1285">
        <v>230951903.88000003</v>
      </c>
      <c r="F34" s="1285">
        <v>0</v>
      </c>
      <c r="G34" s="1285">
        <v>273596119.88999999</v>
      </c>
      <c r="H34" s="1285">
        <v>0</v>
      </c>
      <c r="I34" s="1285">
        <v>19317200.689999994</v>
      </c>
      <c r="J34" s="1285">
        <v>52892.450000000004</v>
      </c>
      <c r="K34" s="1284">
        <v>21176708.850000001</v>
      </c>
      <c r="L34" s="6"/>
    </row>
    <row r="35" spans="1:12">
      <c r="A35" s="956">
        <f t="shared" si="2"/>
        <v>21</v>
      </c>
      <c r="B35" s="978" t="s">
        <v>384</v>
      </c>
      <c r="C35" s="1285">
        <v>510154557.55000001</v>
      </c>
      <c r="D35" s="1285">
        <v>5399103.9700000007</v>
      </c>
      <c r="E35" s="1285">
        <v>232035067.53</v>
      </c>
      <c r="F35" s="1285">
        <v>0</v>
      </c>
      <c r="G35" s="1285">
        <v>275722534.70999998</v>
      </c>
      <c r="H35" s="1285">
        <v>0</v>
      </c>
      <c r="I35" s="1285">
        <v>19521569.27</v>
      </c>
      <c r="J35" s="1285">
        <v>53361.82</v>
      </c>
      <c r="K35" s="1284">
        <v>20967963.819999997</v>
      </c>
      <c r="L35" s="6"/>
    </row>
    <row r="36" spans="1:12">
      <c r="A36" s="956">
        <f t="shared" si="2"/>
        <v>22</v>
      </c>
      <c r="B36" s="978" t="s">
        <v>191</v>
      </c>
      <c r="C36" s="1285">
        <v>512901661.56</v>
      </c>
      <c r="D36" s="1285">
        <v>5441253.1800000006</v>
      </c>
      <c r="E36" s="1285">
        <v>233384402.05000004</v>
      </c>
      <c r="F36" s="1285">
        <v>0</v>
      </c>
      <c r="G36" s="1285">
        <v>277247890.69999993</v>
      </c>
      <c r="H36" s="1285">
        <v>0</v>
      </c>
      <c r="I36" s="1285">
        <v>19736664.210000008</v>
      </c>
      <c r="J36" s="1285">
        <v>54529.8</v>
      </c>
      <c r="K36" s="1284">
        <v>21644311.839999996</v>
      </c>
      <c r="L36" s="6"/>
    </row>
    <row r="37" spans="1:12">
      <c r="A37" s="956">
        <f t="shared" si="2"/>
        <v>23</v>
      </c>
      <c r="B37" s="978" t="s">
        <v>638</v>
      </c>
      <c r="C37" s="1285">
        <v>515885770.2100001</v>
      </c>
      <c r="D37" s="1285">
        <v>5483402.3900000006</v>
      </c>
      <c r="E37" s="1285">
        <v>234508246.27999997</v>
      </c>
      <c r="F37" s="1285">
        <v>0</v>
      </c>
      <c r="G37" s="1285">
        <v>277909533.24999994</v>
      </c>
      <c r="H37" s="1285">
        <v>0</v>
      </c>
      <c r="I37" s="1285">
        <v>19940252.57</v>
      </c>
      <c r="J37" s="1285">
        <v>55697.79</v>
      </c>
      <c r="K37" s="1284">
        <v>22331373.880000003</v>
      </c>
      <c r="L37" s="6"/>
    </row>
    <row r="38" spans="1:12">
      <c r="A38" s="956">
        <f t="shared" si="2"/>
        <v>24</v>
      </c>
      <c r="B38" s="978" t="s">
        <v>194</v>
      </c>
      <c r="C38" s="1285">
        <v>518615429.96000004</v>
      </c>
      <c r="D38" s="1285">
        <v>5525551.5899999999</v>
      </c>
      <c r="E38" s="1285">
        <v>235608001.60000005</v>
      </c>
      <c r="F38" s="1285">
        <v>0</v>
      </c>
      <c r="G38" s="1285">
        <v>279611500.08999997</v>
      </c>
      <c r="H38" s="1285">
        <v>0</v>
      </c>
      <c r="I38" s="1285">
        <v>20166890.220000003</v>
      </c>
      <c r="J38" s="1285">
        <v>56865.770000000004</v>
      </c>
      <c r="K38" s="1284">
        <v>21928442.590000004</v>
      </c>
      <c r="L38" s="6"/>
    </row>
    <row r="39" spans="1:12">
      <c r="A39" s="956">
        <f t="shared" si="2"/>
        <v>25</v>
      </c>
      <c r="B39" s="978" t="s">
        <v>562</v>
      </c>
      <c r="C39" s="1285">
        <v>521565272.62</v>
      </c>
      <c r="D39" s="1285">
        <v>5567440.8399999999</v>
      </c>
      <c r="E39" s="1285">
        <v>237123378.20999998</v>
      </c>
      <c r="F39" s="1285">
        <v>0</v>
      </c>
      <c r="G39" s="1285">
        <v>283032537.61000001</v>
      </c>
      <c r="H39" s="1285">
        <v>0</v>
      </c>
      <c r="I39" s="1285">
        <v>18709498.380000003</v>
      </c>
      <c r="J39" s="1285">
        <v>58033.75</v>
      </c>
      <c r="K39" s="1284">
        <v>22640970.279999994</v>
      </c>
      <c r="L39" s="6"/>
    </row>
    <row r="40" spans="1:12">
      <c r="A40" s="956">
        <f t="shared" si="2"/>
        <v>26</v>
      </c>
      <c r="B40" s="978" t="s">
        <v>563</v>
      </c>
      <c r="C40" s="1285">
        <v>524482002.38</v>
      </c>
      <c r="D40" s="1285">
        <v>5609330.0999999996</v>
      </c>
      <c r="E40" s="1285">
        <v>237949526.22999999</v>
      </c>
      <c r="F40" s="1285">
        <v>0</v>
      </c>
      <c r="G40" s="1285">
        <v>285106071.85000008</v>
      </c>
      <c r="H40" s="1285">
        <v>0</v>
      </c>
      <c r="I40" s="1285">
        <v>18917379.110000003</v>
      </c>
      <c r="J40" s="1285">
        <v>59201.73</v>
      </c>
      <c r="K40" s="1284">
        <v>23363458.550000001</v>
      </c>
      <c r="L40" s="6"/>
    </row>
    <row r="41" spans="1:12">
      <c r="A41" s="954">
        <f t="shared" si="2"/>
        <v>27</v>
      </c>
      <c r="B41" s="977" t="s">
        <v>637</v>
      </c>
      <c r="C41" s="1447">
        <v>526519481.76000011</v>
      </c>
      <c r="D41" s="1448">
        <v>5651219.3899999997</v>
      </c>
      <c r="E41" s="1448">
        <v>238487093.21000001</v>
      </c>
      <c r="F41" s="1448">
        <v>0</v>
      </c>
      <c r="G41" s="1448">
        <v>285632968.42000008</v>
      </c>
      <c r="H41" s="1448">
        <v>0</v>
      </c>
      <c r="I41" s="1448">
        <v>19117579.400000002</v>
      </c>
      <c r="J41" s="1448">
        <v>60369.72</v>
      </c>
      <c r="K41" s="1449">
        <v>19892552.120000005</v>
      </c>
      <c r="L41" s="6"/>
    </row>
    <row r="42" spans="1:12" ht="13.5" thickBot="1">
      <c r="A42" s="976">
        <f t="shared" si="2"/>
        <v>28</v>
      </c>
      <c r="B42" s="1228" t="s">
        <v>870</v>
      </c>
      <c r="C42" s="1444">
        <f>SUM(C29:C41)/13</f>
        <v>510713532.52000004</v>
      </c>
      <c r="D42" s="1445">
        <f t="shared" ref="D42:K42" si="3">SUM(D29:D41)/13</f>
        <v>5398983.9938461538</v>
      </c>
      <c r="E42" s="1445">
        <f t="shared" si="3"/>
        <v>232121933.05769232</v>
      </c>
      <c r="F42" s="1445">
        <f t="shared" si="3"/>
        <v>0</v>
      </c>
      <c r="G42" s="1445">
        <f t="shared" si="3"/>
        <v>276222812.51692307</v>
      </c>
      <c r="H42" s="1445">
        <f t="shared" si="3"/>
        <v>0</v>
      </c>
      <c r="I42" s="1445">
        <f t="shared" si="3"/>
        <v>19152764.063846152</v>
      </c>
      <c r="J42" s="1445">
        <f t="shared" si="3"/>
        <v>54490.355384615374</v>
      </c>
      <c r="K42" s="1446">
        <f t="shared" si="3"/>
        <v>21158222.738461539</v>
      </c>
      <c r="L42" s="6"/>
    </row>
    <row r="43" spans="1:12" ht="13.5" thickTop="1">
      <c r="A43" s="951"/>
      <c r="B43" s="950"/>
      <c r="C43" s="974"/>
      <c r="D43" s="948"/>
      <c r="E43" s="948"/>
      <c r="F43" s="948"/>
      <c r="G43" s="974"/>
      <c r="H43"/>
      <c r="I43"/>
      <c r="J43"/>
      <c r="K43"/>
      <c r="L43" s="6"/>
    </row>
    <row r="44" spans="1:12">
      <c r="A44" s="951"/>
      <c r="B44" s="950"/>
      <c r="C44" s="974"/>
      <c r="D44" s="948"/>
      <c r="E44" s="948"/>
      <c r="F44" s="948"/>
      <c r="G44" s="974"/>
      <c r="H44" s="974"/>
      <c r="I44" s="974"/>
    </row>
    <row r="45" spans="1:12">
      <c r="A45" s="973"/>
      <c r="B45" s="972"/>
      <c r="C45" s="971"/>
      <c r="D45" s="970"/>
      <c r="E45" s="970"/>
      <c r="F45" s="969"/>
      <c r="G45"/>
      <c r="H45"/>
      <c r="I45"/>
      <c r="J45"/>
      <c r="K45"/>
      <c r="L45" s="6"/>
    </row>
    <row r="46" spans="1:12" ht="72" customHeight="1">
      <c r="A46" s="968" t="s">
        <v>653</v>
      </c>
      <c r="B46" s="962" t="s">
        <v>652</v>
      </c>
      <c r="C46" s="967" t="s">
        <v>651</v>
      </c>
      <c r="D46" s="966" t="s">
        <v>650</v>
      </c>
      <c r="E46" s="966" t="s">
        <v>649</v>
      </c>
      <c r="F46" s="965" t="s">
        <v>648</v>
      </c>
      <c r="G46"/>
      <c r="H46"/>
      <c r="I46"/>
      <c r="J46"/>
      <c r="K46"/>
      <c r="L46" s="6"/>
    </row>
    <row r="47" spans="1:12" s="958" customFormat="1">
      <c r="A47" s="956"/>
      <c r="B47" s="962" t="s">
        <v>647</v>
      </c>
      <c r="C47" s="964" t="s">
        <v>646</v>
      </c>
      <c r="D47" s="962" t="s">
        <v>645</v>
      </c>
      <c r="E47" s="962" t="s">
        <v>644</v>
      </c>
      <c r="F47" s="963" t="s">
        <v>643</v>
      </c>
      <c r="G47"/>
      <c r="H47"/>
      <c r="I47"/>
      <c r="J47"/>
      <c r="K47"/>
      <c r="L47" s="6"/>
    </row>
    <row r="48" spans="1:12" s="958" customFormat="1" ht="63.75">
      <c r="A48" s="956"/>
      <c r="B48" s="962" t="s">
        <v>642</v>
      </c>
      <c r="C48" s="961" t="s">
        <v>674</v>
      </c>
      <c r="D48" s="961" t="s">
        <v>675</v>
      </c>
      <c r="E48" s="960" t="s">
        <v>641</v>
      </c>
      <c r="F48" s="959" t="s">
        <v>641</v>
      </c>
      <c r="G48"/>
      <c r="H48"/>
      <c r="I48"/>
      <c r="J48"/>
      <c r="K48"/>
      <c r="L48" s="6"/>
    </row>
    <row r="49" spans="1:12">
      <c r="A49" s="956">
        <f>+A42+1</f>
        <v>29</v>
      </c>
      <c r="B49" s="957" t="s">
        <v>640</v>
      </c>
      <c r="C49" s="1285">
        <v>12196666.210000001</v>
      </c>
      <c r="D49" s="1285">
        <v>5938283.2800000003</v>
      </c>
      <c r="E49" s="1285">
        <v>0</v>
      </c>
      <c r="F49" s="1285">
        <v>0</v>
      </c>
      <c r="G49"/>
      <c r="H49"/>
      <c r="I49"/>
      <c r="J49"/>
      <c r="K49"/>
      <c r="L49" s="6"/>
    </row>
    <row r="50" spans="1:12">
      <c r="A50" s="956">
        <f>+A49+1</f>
        <v>30</v>
      </c>
      <c r="B50" s="957" t="s">
        <v>187</v>
      </c>
      <c r="C50" s="1286">
        <v>12194440.890000001</v>
      </c>
      <c r="D50" s="1285">
        <v>5960130.8700000001</v>
      </c>
      <c r="E50" s="1285">
        <v>0</v>
      </c>
      <c r="F50" s="1284">
        <v>0</v>
      </c>
      <c r="G50"/>
      <c r="H50"/>
      <c r="I50"/>
      <c r="J50"/>
      <c r="K50"/>
      <c r="L50" s="6"/>
    </row>
    <row r="51" spans="1:12">
      <c r="A51" s="956">
        <f t="shared" ref="A51:A62" si="4">+A50+1</f>
        <v>31</v>
      </c>
      <c r="B51" s="955" t="s">
        <v>561</v>
      </c>
      <c r="C51" s="1286">
        <v>12194440.890000001</v>
      </c>
      <c r="D51" s="1285">
        <v>5981974.4700000007</v>
      </c>
      <c r="E51" s="1285">
        <v>0</v>
      </c>
      <c r="F51" s="1284">
        <v>0</v>
      </c>
      <c r="G51"/>
      <c r="H51"/>
      <c r="I51"/>
      <c r="J51"/>
      <c r="K51"/>
      <c r="L51" s="6"/>
    </row>
    <row r="52" spans="1:12">
      <c r="A52" s="956">
        <f t="shared" si="4"/>
        <v>32</v>
      </c>
      <c r="B52" s="955" t="s">
        <v>639</v>
      </c>
      <c r="C52" s="1286">
        <v>12194440.890000001</v>
      </c>
      <c r="D52" s="1285">
        <v>6003818.0700000003</v>
      </c>
      <c r="E52" s="1285">
        <v>0</v>
      </c>
      <c r="F52" s="1284">
        <v>0</v>
      </c>
      <c r="G52"/>
      <c r="H52"/>
      <c r="I52"/>
      <c r="J52"/>
      <c r="K52"/>
      <c r="L52" s="6"/>
    </row>
    <row r="53" spans="1:12">
      <c r="A53" s="956">
        <f t="shared" si="4"/>
        <v>33</v>
      </c>
      <c r="B53" s="955" t="s">
        <v>189</v>
      </c>
      <c r="C53" s="1286">
        <v>12194440.890000001</v>
      </c>
      <c r="D53" s="1285">
        <v>6025661.6799999997</v>
      </c>
      <c r="E53" s="1285">
        <v>0</v>
      </c>
      <c r="F53" s="1284">
        <v>0</v>
      </c>
      <c r="G53"/>
      <c r="H53"/>
      <c r="I53"/>
      <c r="J53"/>
      <c r="K53"/>
      <c r="L53" s="6"/>
    </row>
    <row r="54" spans="1:12">
      <c r="A54" s="956">
        <f t="shared" si="4"/>
        <v>34</v>
      </c>
      <c r="B54" s="955" t="s">
        <v>190</v>
      </c>
      <c r="C54" s="1286">
        <v>12194440.890000001</v>
      </c>
      <c r="D54" s="1285">
        <v>6047505.29</v>
      </c>
      <c r="E54" s="1285">
        <v>0</v>
      </c>
      <c r="F54" s="1284">
        <v>0</v>
      </c>
      <c r="G54"/>
      <c r="H54"/>
      <c r="I54"/>
      <c r="J54"/>
      <c r="K54"/>
      <c r="L54" s="6"/>
    </row>
    <row r="55" spans="1:12">
      <c r="A55" s="956">
        <f t="shared" si="4"/>
        <v>35</v>
      </c>
      <c r="B55" s="955" t="s">
        <v>384</v>
      </c>
      <c r="C55" s="1286">
        <v>12207857.360000001</v>
      </c>
      <c r="D55" s="1285">
        <v>6069348.8599999994</v>
      </c>
      <c r="E55" s="1285">
        <v>0</v>
      </c>
      <c r="F55" s="1284">
        <v>0</v>
      </c>
      <c r="G55"/>
      <c r="H55"/>
      <c r="I55"/>
      <c r="J55"/>
      <c r="K55"/>
      <c r="L55" s="6"/>
    </row>
    <row r="56" spans="1:12">
      <c r="A56" s="956">
        <f t="shared" si="4"/>
        <v>36</v>
      </c>
      <c r="B56" s="955" t="s">
        <v>191</v>
      </c>
      <c r="C56" s="1286">
        <v>12207857.360000001</v>
      </c>
      <c r="D56" s="1285">
        <v>6091216.5099999998</v>
      </c>
      <c r="E56" s="1285">
        <v>0</v>
      </c>
      <c r="F56" s="1284">
        <v>0</v>
      </c>
      <c r="G56"/>
      <c r="H56"/>
      <c r="I56"/>
      <c r="J56"/>
      <c r="K56"/>
      <c r="L56" s="6"/>
    </row>
    <row r="57" spans="1:12">
      <c r="A57" s="956">
        <f t="shared" si="4"/>
        <v>37</v>
      </c>
      <c r="B57" s="955" t="s">
        <v>638</v>
      </c>
      <c r="C57" s="1286">
        <v>12207857.360000001</v>
      </c>
      <c r="D57" s="1285">
        <v>6113084.1100000003</v>
      </c>
      <c r="E57" s="1285">
        <v>0</v>
      </c>
      <c r="F57" s="1284">
        <v>0</v>
      </c>
      <c r="G57"/>
      <c r="H57"/>
      <c r="I57"/>
      <c r="J57"/>
      <c r="K57"/>
      <c r="L57" s="6"/>
    </row>
    <row r="58" spans="1:12">
      <c r="A58" s="956">
        <f t="shared" si="4"/>
        <v>38</v>
      </c>
      <c r="B58" s="955" t="s">
        <v>194</v>
      </c>
      <c r="C58" s="1286">
        <v>12207857.359999999</v>
      </c>
      <c r="D58" s="1285">
        <v>6134951.7399999993</v>
      </c>
      <c r="E58" s="1285">
        <v>0</v>
      </c>
      <c r="F58" s="1284">
        <v>0</v>
      </c>
      <c r="G58"/>
      <c r="H58"/>
      <c r="I58"/>
      <c r="J58"/>
      <c r="K58"/>
      <c r="L58" s="6"/>
    </row>
    <row r="59" spans="1:12">
      <c r="A59" s="956">
        <f t="shared" si="4"/>
        <v>39</v>
      </c>
      <c r="B59" s="955" t="s">
        <v>562</v>
      </c>
      <c r="C59" s="1286">
        <v>12207857.359999999</v>
      </c>
      <c r="D59" s="1285">
        <v>6156819.3700000001</v>
      </c>
      <c r="E59" s="1285">
        <v>0</v>
      </c>
      <c r="F59" s="1284">
        <v>0</v>
      </c>
      <c r="G59"/>
      <c r="H59"/>
      <c r="I59"/>
      <c r="J59"/>
      <c r="K59"/>
      <c r="L59" s="6"/>
    </row>
    <row r="60" spans="1:12">
      <c r="A60" s="956">
        <f t="shared" si="4"/>
        <v>40</v>
      </c>
      <c r="B60" s="955" t="s">
        <v>563</v>
      </c>
      <c r="C60" s="1286">
        <v>12207857.359999999</v>
      </c>
      <c r="D60" s="1285">
        <v>6178687</v>
      </c>
      <c r="E60" s="1285">
        <v>0</v>
      </c>
      <c r="F60" s="1284">
        <v>0</v>
      </c>
      <c r="G60"/>
      <c r="H60"/>
      <c r="I60"/>
      <c r="J60"/>
      <c r="K60"/>
      <c r="L60" s="6"/>
    </row>
    <row r="61" spans="1:12">
      <c r="A61" s="954">
        <f t="shared" si="4"/>
        <v>41</v>
      </c>
      <c r="B61" s="953" t="s">
        <v>637</v>
      </c>
      <c r="C61" s="1447">
        <v>12207857.359999999</v>
      </c>
      <c r="D61" s="1448">
        <v>6200554.6400000006</v>
      </c>
      <c r="E61" s="1448">
        <v>0</v>
      </c>
      <c r="F61" s="1449">
        <v>0</v>
      </c>
      <c r="G61"/>
      <c r="H61"/>
      <c r="I61"/>
      <c r="J61"/>
      <c r="K61"/>
      <c r="L61" s="6"/>
    </row>
    <row r="62" spans="1:12" ht="13.5" thickBot="1">
      <c r="A62" s="952">
        <f t="shared" si="4"/>
        <v>42</v>
      </c>
      <c r="B62" s="1228" t="s">
        <v>870</v>
      </c>
      <c r="C62" s="1444">
        <f>SUM(C49:C61)/13</f>
        <v>12201836.321538461</v>
      </c>
      <c r="D62" s="1445">
        <f>SUM(D49:D61)/13</f>
        <v>6069387.3761538463</v>
      </c>
      <c r="E62" s="1445">
        <f>SUM(E49:E61)/13</f>
        <v>0</v>
      </c>
      <c r="F62" s="1446">
        <f>SUM(F49:F61)/13</f>
        <v>0</v>
      </c>
      <c r="G62"/>
      <c r="H62"/>
      <c r="I62"/>
      <c r="J62"/>
      <c r="K62"/>
      <c r="L62" s="6"/>
    </row>
    <row r="63" spans="1:12" ht="13.5" thickTop="1">
      <c r="A63" s="951"/>
      <c r="B63" s="950"/>
      <c r="G63"/>
      <c r="H63"/>
      <c r="I63"/>
      <c r="J63"/>
      <c r="K63"/>
    </row>
    <row r="64" spans="1:12">
      <c r="A64" s="951">
        <v>43</v>
      </c>
      <c r="B64" s="950" t="s">
        <v>636</v>
      </c>
      <c r="D64" s="949">
        <f>+E42-D62</f>
        <v>226052545.68153846</v>
      </c>
      <c r="I64" s="948"/>
      <c r="K64" s="6"/>
    </row>
    <row r="65" spans="1:7" customFormat="1"/>
    <row r="66" spans="1:7" customFormat="1">
      <c r="A66" s="947"/>
      <c r="B66" s="295"/>
      <c r="C66" s="296"/>
      <c r="D66" s="297"/>
      <c r="E66" s="73"/>
      <c r="F66" s="73"/>
      <c r="G66" s="87"/>
    </row>
    <row r="67" spans="1:7" customFormat="1" ht="25.5">
      <c r="A67" s="995" t="s">
        <v>3</v>
      </c>
      <c r="B67" s="295"/>
      <c r="C67" s="992" t="s">
        <v>2</v>
      </c>
      <c r="D67" s="993" t="str">
        <f>"Balance @ December 31, "&amp;TCOS!L4&amp;""</f>
        <v>Balance @ December 31, 2020</v>
      </c>
      <c r="E67" s="994" t="str">
        <f>"Balance @ December 31, "&amp;TCOS!L4-1&amp;""</f>
        <v>Balance @ December 31, 2019</v>
      </c>
      <c r="F67" s="994" t="str">
        <f>"Average Balance for "&amp;TCOS!L4&amp;""</f>
        <v>Average Balance for 2020</v>
      </c>
      <c r="G67" s="87"/>
    </row>
    <row r="68" spans="1:7" customFormat="1">
      <c r="A68" s="92"/>
      <c r="B68" s="962" t="s">
        <v>647</v>
      </c>
      <c r="C68" s="962" t="s">
        <v>646</v>
      </c>
      <c r="D68" s="962" t="s">
        <v>645</v>
      </c>
      <c r="E68" s="962" t="s">
        <v>644</v>
      </c>
      <c r="F68" s="962" t="s">
        <v>643</v>
      </c>
      <c r="G68" s="87"/>
    </row>
    <row r="69" spans="1:7" customFormat="1">
      <c r="A69" s="298">
        <f>+A64+1</f>
        <v>44</v>
      </c>
      <c r="B69" s="92" t="s">
        <v>3</v>
      </c>
      <c r="C69" s="301" t="s">
        <v>376</v>
      </c>
      <c r="D69" s="881">
        <v>556145</v>
      </c>
      <c r="E69" s="881">
        <v>556145</v>
      </c>
      <c r="F69" s="140">
        <f>IF(E69="",0,AVERAGE(D69:E69))</f>
        <v>556145</v>
      </c>
    </row>
    <row r="70" spans="1:7" customFormat="1">
      <c r="A70" s="294"/>
      <c r="B70" s="302"/>
      <c r="C70" s="302"/>
      <c r="F70" s="87"/>
    </row>
    <row r="71" spans="1:7" customFormat="1">
      <c r="A71" s="293">
        <f>+A69+1</f>
        <v>45</v>
      </c>
      <c r="B71" s="92" t="s">
        <v>832</v>
      </c>
      <c r="C71" s="319" t="s">
        <v>68</v>
      </c>
      <c r="D71" s="881">
        <v>0</v>
      </c>
      <c r="E71" s="881">
        <v>0</v>
      </c>
      <c r="F71" s="140">
        <f>IF(E71="",0,AVERAGE(D71:E71))</f>
        <v>0</v>
      </c>
    </row>
    <row r="72" spans="1:7" customFormat="1">
      <c r="A72" s="240"/>
      <c r="B72" s="240"/>
      <c r="C72" s="240"/>
      <c r="D72" s="240"/>
    </row>
    <row r="73" spans="1:7" customFormat="1">
      <c r="A73" s="92" t="s">
        <v>238</v>
      </c>
      <c r="B73" s="240"/>
      <c r="C73" s="240"/>
      <c r="D73" s="240"/>
    </row>
    <row r="74" spans="1:7" customFormat="1">
      <c r="A74" s="299"/>
      <c r="B74" s="300" t="s">
        <v>362</v>
      </c>
      <c r="C74" s="300"/>
      <c r="D74" s="81"/>
      <c r="E74" s="81"/>
      <c r="F74" s="81"/>
    </row>
    <row r="75" spans="1:7" customFormat="1">
      <c r="A75" s="298">
        <f>+A71+1</f>
        <v>46</v>
      </c>
      <c r="B75" s="882"/>
      <c r="C75" s="882"/>
      <c r="D75" s="881"/>
      <c r="E75" s="881"/>
      <c r="F75" s="140">
        <f>IF(E75="",0,AVERAGE(D75:E75))</f>
        <v>0</v>
      </c>
    </row>
    <row r="76" spans="1:7" customFormat="1">
      <c r="A76" s="298">
        <f>+A75+1</f>
        <v>47</v>
      </c>
      <c r="B76" s="882"/>
      <c r="C76" s="882"/>
      <c r="D76" s="881"/>
      <c r="E76" s="881"/>
      <c r="F76" s="140">
        <f>IF(E76="",0,AVERAGE(D76:E76))</f>
        <v>0</v>
      </c>
    </row>
    <row r="77" spans="1:7" customFormat="1">
      <c r="A77" s="298">
        <f>+A76+1</f>
        <v>48</v>
      </c>
      <c r="B77" s="882"/>
      <c r="C77" s="882"/>
      <c r="D77" s="881"/>
      <c r="E77" s="881"/>
      <c r="F77" s="140">
        <f>IF(E77="",0,AVERAGE(D77:E77))</f>
        <v>0</v>
      </c>
    </row>
    <row r="78" spans="1:7" customFormat="1">
      <c r="A78" s="298">
        <f>+A77+1</f>
        <v>49</v>
      </c>
      <c r="B78" s="882"/>
      <c r="C78" s="882"/>
      <c r="D78" s="881"/>
      <c r="E78" s="881"/>
      <c r="F78" s="140">
        <f>IF(E78="",0,AVERAGE(D78:E78))</f>
        <v>0</v>
      </c>
    </row>
    <row r="79" spans="1:7" customFormat="1">
      <c r="A79" s="298">
        <f>+A78+1</f>
        <v>50</v>
      </c>
      <c r="B79" s="882"/>
      <c r="C79" s="882"/>
      <c r="D79" s="883"/>
      <c r="E79" s="883"/>
      <c r="F79" s="1000">
        <f>IF(E79="",0,AVERAGE(D79:E79))</f>
        <v>0</v>
      </c>
    </row>
    <row r="80" spans="1:7" customFormat="1">
      <c r="A80" s="298">
        <f>+A79+1</f>
        <v>51</v>
      </c>
      <c r="B80" s="300" t="s">
        <v>499</v>
      </c>
      <c r="C80" s="300"/>
      <c r="D80" s="190">
        <f>SUM(D75:D79)</f>
        <v>0</v>
      </c>
      <c r="E80" s="190">
        <f>SUM(E75:E79)</f>
        <v>0</v>
      </c>
      <c r="F80" s="190">
        <f>SUM(F75:F79)</f>
        <v>0</v>
      </c>
    </row>
    <row r="81" spans="1:7" customFormat="1">
      <c r="A81" s="298"/>
      <c r="B81" s="300"/>
      <c r="C81" s="300"/>
      <c r="D81" s="190"/>
      <c r="E81" s="190"/>
      <c r="F81" s="190"/>
    </row>
    <row r="82" spans="1:7" customFormat="1" ht="18">
      <c r="A82" s="92" t="s">
        <v>759</v>
      </c>
      <c r="B82" s="944"/>
      <c r="C82" s="944"/>
      <c r="D82" s="944"/>
      <c r="E82" s="81"/>
      <c r="F82" s="81"/>
      <c r="G82" s="81"/>
    </row>
    <row r="83" spans="1:7" customFormat="1">
      <c r="A83" s="78"/>
      <c r="B83" s="246"/>
      <c r="C83" s="249"/>
      <c r="D83" s="8"/>
      <c r="E83" s="81"/>
      <c r="F83" s="81"/>
      <c r="G83" s="81"/>
    </row>
    <row r="84" spans="1:7" customFormat="1">
      <c r="A84" s="78">
        <f>+A80+1</f>
        <v>52</v>
      </c>
      <c r="B84" s="13" t="s">
        <v>169</v>
      </c>
      <c r="C84" s="13" t="s">
        <v>308</v>
      </c>
      <c r="D84" s="996"/>
      <c r="E84" s="21"/>
      <c r="F84" s="13"/>
      <c r="G84" s="21"/>
    </row>
    <row r="85" spans="1:7" customFormat="1" ht="14.25">
      <c r="A85" s="997" t="s">
        <v>752</v>
      </c>
      <c r="B85" s="1147" t="s">
        <v>875</v>
      </c>
      <c r="C85" s="1324" t="s">
        <v>1238</v>
      </c>
      <c r="D85" s="881">
        <v>444224.06</v>
      </c>
      <c r="E85" s="881">
        <v>260795.41</v>
      </c>
      <c r="F85" s="1001">
        <f>IF(E85="",0,AVERAGE(D85:E85))</f>
        <v>352509.73499999999</v>
      </c>
      <c r="G85" s="21"/>
    </row>
    <row r="86" spans="1:7" customFormat="1" ht="14.25">
      <c r="A86" s="998" t="s">
        <v>753</v>
      </c>
      <c r="B86" s="1147" t="s">
        <v>1311</v>
      </c>
      <c r="C86" s="1324" t="s">
        <v>1313</v>
      </c>
      <c r="D86" s="881">
        <v>159768.44</v>
      </c>
      <c r="E86" s="881">
        <v>230682</v>
      </c>
      <c r="F86" s="1001">
        <f>IF(E86="",0,AVERAGE(D86:E86))</f>
        <v>195225.22</v>
      </c>
      <c r="G86" s="21"/>
    </row>
    <row r="87" spans="1:7" customFormat="1" ht="14.25">
      <c r="A87" s="1437" t="s">
        <v>1310</v>
      </c>
      <c r="B87" s="1147" t="s">
        <v>1312</v>
      </c>
      <c r="C87" s="1148" t="s">
        <v>1314</v>
      </c>
      <c r="D87" s="883">
        <v>1569468.4300000002</v>
      </c>
      <c r="E87" s="883">
        <v>2300434.65</v>
      </c>
      <c r="F87" s="1002">
        <f>IF(E87="",0,AVERAGE(D87:E87))</f>
        <v>1934951.54</v>
      </c>
      <c r="G87" s="21"/>
    </row>
    <row r="88" spans="1:7" customFormat="1" ht="18" customHeight="1">
      <c r="A88" s="999">
        <v>54</v>
      </c>
      <c r="B88" s="21"/>
      <c r="C88" s="5" t="s">
        <v>120</v>
      </c>
      <c r="D88" s="949">
        <f>SUM(D85:D87)</f>
        <v>2173460.9300000002</v>
      </c>
      <c r="E88" s="949">
        <f>SUM(E85:E87)</f>
        <v>2791912.06</v>
      </c>
      <c r="F88" s="949">
        <f>SUM(F85:F87)</f>
        <v>2482686.4950000001</v>
      </c>
      <c r="G88" s="21"/>
    </row>
    <row r="89" spans="1:7" customFormat="1">
      <c r="A89" s="298"/>
      <c r="B89" s="300"/>
      <c r="C89" s="300"/>
      <c r="D89" s="300"/>
      <c r="G89" s="21"/>
    </row>
    <row r="90" spans="1:7">
      <c r="A90" s="991" t="s">
        <v>678</v>
      </c>
      <c r="B90" s="300"/>
      <c r="C90" s="300"/>
      <c r="D90" s="300"/>
      <c r="G90" s="996"/>
    </row>
    <row r="91" spans="1:7">
      <c r="A91" s="991" t="s">
        <v>677</v>
      </c>
      <c r="B91" s="300"/>
      <c r="C91" s="300"/>
      <c r="D91" s="300"/>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3"/>
  <sheetViews>
    <sheetView view="pageBreakPreview" topLeftCell="A7" zoomScaleNormal="75" zoomScaleSheetLayoutView="100" workbookViewId="0">
      <selection activeCell="D263" sqref="D263"/>
    </sheetView>
  </sheetViews>
  <sheetFormatPr defaultColWidth="9.140625" defaultRowHeight="12.75"/>
  <cols>
    <col min="1" max="1" width="8.140625" style="1230" customWidth="1"/>
    <col min="2" max="2" width="28.85546875" style="1230" customWidth="1"/>
    <col min="3" max="3" width="17.85546875" style="1230" customWidth="1"/>
    <col min="4" max="4" width="19.42578125" style="1230" customWidth="1"/>
    <col min="5" max="6" width="19.85546875" style="1230" customWidth="1"/>
    <col min="7" max="7" width="21.42578125" style="1230" customWidth="1"/>
    <col min="8" max="9" width="19.85546875" style="1230" customWidth="1"/>
    <col min="10" max="10" width="21.42578125" style="1230" customWidth="1"/>
    <col min="11" max="11" width="18.140625" style="1230" customWidth="1"/>
    <col min="12" max="12" width="22.42578125" style="1230" customWidth="1"/>
    <col min="13" max="13" width="22.140625" style="1230" customWidth="1"/>
    <col min="14" max="14" width="11.140625" style="1230" customWidth="1"/>
    <col min="15" max="15" width="11.42578125" style="1230" bestFit="1" customWidth="1"/>
    <col min="16" max="16" width="12.42578125" style="1230" customWidth="1"/>
    <col min="17" max="17" width="9.140625" style="1230"/>
    <col min="18" max="18" width="10.42578125" style="1230" bestFit="1" customWidth="1"/>
    <col min="19" max="19" width="9.140625" style="1230"/>
    <col min="20" max="20" width="12.85546875" style="1230" customWidth="1"/>
    <col min="21" max="21" width="13.5703125" style="1230" customWidth="1"/>
    <col min="22" max="16384" width="9.140625" style="1230"/>
  </cols>
  <sheetData>
    <row r="1" spans="1:17" ht="15.75">
      <c r="A1" s="1229" t="s">
        <v>116</v>
      </c>
    </row>
    <row r="2" spans="1:17" ht="15.75">
      <c r="A2" s="1229" t="s">
        <v>116</v>
      </c>
    </row>
    <row r="3" spans="1:17" ht="15.75">
      <c r="A3" s="1568" t="s">
        <v>389</v>
      </c>
      <c r="B3" s="1568"/>
      <c r="C3" s="1568"/>
      <c r="D3" s="1568"/>
      <c r="E3" s="1568"/>
      <c r="F3" s="1568"/>
      <c r="G3" s="1568"/>
      <c r="H3" s="1568"/>
      <c r="I3" s="1568"/>
      <c r="J3" s="1568"/>
      <c r="K3" s="1568"/>
      <c r="L3" s="1231"/>
      <c r="M3" s="1231"/>
      <c r="N3" s="1232"/>
      <c r="O3" s="1232"/>
      <c r="P3" s="1232"/>
      <c r="Q3" s="1232"/>
    </row>
    <row r="4" spans="1:17" ht="15.75">
      <c r="A4" s="1569" t="str">
        <f>"Cost of Service Formula Rate Using Actual/Projected FF1 Balances"</f>
        <v>Cost of Service Formula Rate Using Actual/Projected FF1 Balances</v>
      </c>
      <c r="B4" s="1570"/>
      <c r="C4" s="1570"/>
      <c r="D4" s="1570"/>
      <c r="E4" s="1570"/>
      <c r="F4" s="1570"/>
      <c r="G4" s="1570"/>
      <c r="H4" s="1570"/>
      <c r="I4" s="1570"/>
      <c r="J4" s="1570"/>
      <c r="K4" s="1570"/>
      <c r="L4" s="1233"/>
      <c r="M4" s="1235"/>
      <c r="N4" s="1236"/>
      <c r="O4" s="1236"/>
      <c r="P4" s="1236"/>
      <c r="Q4" s="1236"/>
    </row>
    <row r="5" spans="1:17" ht="15.75">
      <c r="A5" s="1571" t="s">
        <v>860</v>
      </c>
      <c r="B5" s="1571"/>
      <c r="C5" s="1571"/>
      <c r="D5" s="1571"/>
      <c r="E5" s="1571"/>
      <c r="F5" s="1571"/>
      <c r="G5" s="1571"/>
      <c r="H5" s="1571"/>
      <c r="I5" s="1571"/>
      <c r="J5" s="1571"/>
      <c r="K5" s="1571"/>
      <c r="L5" s="1233"/>
      <c r="M5" s="1237"/>
      <c r="N5" s="1237"/>
      <c r="O5" s="1237"/>
      <c r="P5" s="1237"/>
      <c r="Q5" s="1237"/>
    </row>
    <row r="6" spans="1:17" ht="15.75">
      <c r="A6" s="1572" t="str">
        <f>TCOS!F9</f>
        <v>KENTUCKY POWER COMPANY</v>
      </c>
      <c r="B6" s="1572"/>
      <c r="C6" s="1572"/>
      <c r="D6" s="1572"/>
      <c r="E6" s="1572"/>
      <c r="F6" s="1572"/>
      <c r="G6" s="1572"/>
      <c r="H6" s="1572"/>
      <c r="I6" s="1572"/>
      <c r="J6" s="1572"/>
      <c r="K6" s="1572"/>
      <c r="L6" s="1238"/>
      <c r="M6" s="1238"/>
      <c r="N6" s="1239"/>
      <c r="O6" s="1239"/>
      <c r="P6" s="1239"/>
      <c r="Q6" s="1239"/>
    </row>
    <row r="9" spans="1:17">
      <c r="B9" s="1573"/>
      <c r="C9" s="1573"/>
      <c r="D9" s="1573"/>
      <c r="E9" s="1573"/>
      <c r="F9" s="1573"/>
      <c r="G9" s="1573"/>
      <c r="H9" s="1573"/>
      <c r="I9" s="1573"/>
      <c r="J9" s="1573"/>
      <c r="K9" s="1573"/>
      <c r="L9" s="1573"/>
      <c r="M9" s="1573"/>
      <c r="N9" s="1241"/>
      <c r="O9" s="1241"/>
      <c r="P9" s="1241"/>
      <c r="Q9" s="1241"/>
    </row>
    <row r="10" spans="1:17">
      <c r="I10" s="1241"/>
      <c r="J10" s="1241"/>
      <c r="K10" s="1241"/>
      <c r="L10" s="1241"/>
      <c r="M10" s="1241"/>
      <c r="N10" s="1241"/>
      <c r="O10" s="1241"/>
      <c r="P10" s="1241"/>
      <c r="Q10" s="1241"/>
    </row>
    <row r="11" spans="1:17">
      <c r="I11" s="1241"/>
      <c r="J11" s="1241"/>
      <c r="K11" s="1241"/>
      <c r="L11" s="1241"/>
      <c r="M11" s="1241"/>
      <c r="N11" s="1241"/>
      <c r="O11" s="1241"/>
      <c r="P11" s="1241"/>
      <c r="Q11" s="1241"/>
    </row>
    <row r="12" spans="1:17">
      <c r="A12" s="1234">
        <v>1</v>
      </c>
      <c r="B12" s="1230" t="s">
        <v>834</v>
      </c>
      <c r="E12" s="1250">
        <v>-127041505</v>
      </c>
      <c r="I12" s="1254"/>
      <c r="J12" s="1241"/>
      <c r="K12" s="1241"/>
      <c r="L12" s="1241"/>
      <c r="M12" s="1241"/>
      <c r="N12" s="1241"/>
      <c r="O12" s="1241"/>
      <c r="P12" s="1241"/>
      <c r="Q12" s="1241"/>
    </row>
    <row r="13" spans="1:17">
      <c r="I13" s="1254"/>
      <c r="J13" s="1241"/>
      <c r="K13" s="1241"/>
      <c r="L13" s="1241"/>
      <c r="M13" s="1241"/>
      <c r="N13" s="1241"/>
      <c r="O13" s="1241"/>
      <c r="P13" s="1241"/>
      <c r="Q13" s="1241"/>
    </row>
    <row r="14" spans="1:17">
      <c r="B14" s="1574" t="str">
        <f>"Allocation of PBOP Settlement Amount for "&amp;TCOS!L4&amp;""</f>
        <v>Allocation of PBOP Settlement Amount for 2020</v>
      </c>
      <c r="C14" s="1574"/>
      <c r="D14" s="1242"/>
      <c r="E14" s="1242"/>
      <c r="F14" s="1242"/>
      <c r="G14" s="1242"/>
      <c r="H14" s="1242"/>
      <c r="I14" s="1242"/>
      <c r="J14" s="1242"/>
      <c r="K14" s="1242"/>
      <c r="L14" s="1242"/>
      <c r="M14" s="1242"/>
      <c r="N14" s="1241"/>
      <c r="O14" s="1241"/>
      <c r="P14" s="1241"/>
      <c r="Q14" s="1241"/>
    </row>
    <row r="15" spans="1:17">
      <c r="C15" s="1573" t="s">
        <v>835</v>
      </c>
      <c r="D15" s="1573"/>
      <c r="E15" s="1573"/>
      <c r="F15" s="1240"/>
      <c r="N15" s="1241"/>
      <c r="O15" s="1241"/>
      <c r="P15" s="1241"/>
      <c r="Q15" s="1241"/>
    </row>
    <row r="16" spans="1:17">
      <c r="B16" s="1254"/>
      <c r="C16" s="1577" t="s">
        <v>836</v>
      </c>
      <c r="D16" s="1577" t="s">
        <v>837</v>
      </c>
      <c r="E16" s="1577" t="s">
        <v>838</v>
      </c>
      <c r="F16" s="1268"/>
      <c r="G16" s="1268"/>
      <c r="H16" s="1268"/>
      <c r="I16" s="1577" t="s">
        <v>839</v>
      </c>
      <c r="N16" s="1241"/>
      <c r="O16" s="1241"/>
      <c r="P16" s="1241"/>
      <c r="Q16" s="1241"/>
    </row>
    <row r="17" spans="1:17" ht="12.75" customHeight="1">
      <c r="C17" s="1575"/>
      <c r="D17" s="1575"/>
      <c r="E17" s="1575"/>
      <c r="F17" s="1577" t="str">
        <f>"Labor Allocator for "&amp;TCOS!L4&amp;""</f>
        <v>Labor Allocator for 2020</v>
      </c>
      <c r="G17" s="1271"/>
      <c r="H17" s="1578" t="s">
        <v>840</v>
      </c>
      <c r="I17" s="1577"/>
      <c r="N17" s="1241"/>
      <c r="O17" s="1241"/>
      <c r="P17" s="1241"/>
      <c r="Q17" s="1241"/>
    </row>
    <row r="18" spans="1:17">
      <c r="A18" s="1243" t="s">
        <v>841</v>
      </c>
      <c r="B18" s="1240" t="s">
        <v>185</v>
      </c>
      <c r="C18" s="1575"/>
      <c r="D18" s="1575"/>
      <c r="E18" s="1575"/>
      <c r="F18" s="1577"/>
      <c r="G18" s="1273" t="s">
        <v>842</v>
      </c>
      <c r="H18" s="1578"/>
      <c r="I18" s="1577"/>
      <c r="N18" s="1241"/>
      <c r="O18" s="1241"/>
      <c r="P18" s="1241"/>
      <c r="Q18" s="1241"/>
    </row>
    <row r="19" spans="1:17">
      <c r="B19" s="1240"/>
      <c r="C19" s="1253"/>
      <c r="D19" s="1253"/>
      <c r="E19" s="1253"/>
      <c r="F19" s="1268"/>
      <c r="G19" s="1271"/>
      <c r="H19" s="1271"/>
      <c r="I19" s="1253"/>
      <c r="N19" s="1241"/>
      <c r="O19" s="1241"/>
      <c r="P19" s="1241"/>
      <c r="Q19" s="1241"/>
    </row>
    <row r="20" spans="1:17" ht="25.5">
      <c r="B20" s="1240"/>
      <c r="C20" s="1268" t="s">
        <v>164</v>
      </c>
      <c r="D20" s="1268" t="s">
        <v>843</v>
      </c>
      <c r="E20" s="1269" t="str">
        <f>"(C )=(B) * "&amp;E12&amp;""</f>
        <v>(C )=(B) * -127041505</v>
      </c>
      <c r="F20" s="1268" t="s">
        <v>167</v>
      </c>
      <c r="G20" s="1274" t="s">
        <v>844</v>
      </c>
      <c r="H20" s="1274" t="s">
        <v>845</v>
      </c>
      <c r="I20" s="1269" t="s">
        <v>846</v>
      </c>
      <c r="N20" s="1241"/>
      <c r="O20" s="1241"/>
      <c r="P20" s="1241"/>
      <c r="Q20" s="1241"/>
    </row>
    <row r="21" spans="1:17">
      <c r="B21" s="1240"/>
      <c r="C21" s="1268" t="str">
        <f>"(Line "&amp;A47&amp;")"</f>
        <v>(Line 14)</v>
      </c>
      <c r="D21" s="1268"/>
      <c r="E21" s="1269"/>
      <c r="F21" s="1268"/>
      <c r="G21" s="1271"/>
      <c r="H21" s="1272"/>
      <c r="I21" s="1269"/>
      <c r="N21" s="1241"/>
      <c r="O21" s="1241"/>
      <c r="P21" s="1241"/>
      <c r="Q21" s="1241"/>
    </row>
    <row r="22" spans="1:17">
      <c r="A22" s="1230">
        <v>2</v>
      </c>
      <c r="B22" s="1230" t="s">
        <v>847</v>
      </c>
      <c r="C22" s="1456">
        <f>D47</f>
        <v>-21654307.467475709</v>
      </c>
      <c r="D22" s="1457">
        <f t="shared" ref="D22:D27" si="0">+C22/C$28</f>
        <v>0.35876167417368016</v>
      </c>
      <c r="E22" s="1458">
        <f t="shared" ref="E22:E27" si="1">ROUND(D22*E$28,0)</f>
        <v>-45577623</v>
      </c>
      <c r="F22" s="1459">
        <v>0.10558528374676276</v>
      </c>
      <c r="G22" s="1460">
        <f t="shared" ref="G22:G27" si="2">+C22*F22</f>
        <v>-2286376.1982930666</v>
      </c>
      <c r="H22" s="1460">
        <f t="shared" ref="H22:H27" si="3">+F22*E22</f>
        <v>-4812326.2569579808</v>
      </c>
      <c r="I22" s="1458">
        <f t="shared" ref="I22:I27" si="4">+G22-H22</f>
        <v>2525950.0586649142</v>
      </c>
      <c r="N22" s="1241"/>
      <c r="O22" s="1241"/>
      <c r="P22" s="1241"/>
      <c r="Q22" s="1241"/>
    </row>
    <row r="23" spans="1:17">
      <c r="A23" s="1230">
        <f t="shared" ref="A23:A28" si="5">+A22+1</f>
        <v>3</v>
      </c>
      <c r="B23" s="1230" t="s">
        <v>848</v>
      </c>
      <c r="C23" s="1456">
        <f>F47</f>
        <v>-16228939.79138932</v>
      </c>
      <c r="D23" s="1457">
        <f t="shared" si="0"/>
        <v>0.26887590925582294</v>
      </c>
      <c r="E23" s="1458">
        <f t="shared" si="1"/>
        <v>-34158400</v>
      </c>
      <c r="F23" s="1459">
        <v>4.6366966769266861E-2</v>
      </c>
      <c r="G23" s="1460">
        <f t="shared" si="2"/>
        <v>-752486.71200778126</v>
      </c>
      <c r="H23" s="1460">
        <f t="shared" si="3"/>
        <v>-1583821.3976913251</v>
      </c>
      <c r="I23" s="1458">
        <f t="shared" si="4"/>
        <v>831334.68568354379</v>
      </c>
      <c r="N23" s="1241"/>
      <c r="O23" s="1241"/>
      <c r="P23" s="1241"/>
      <c r="Q23" s="1241"/>
    </row>
    <row r="24" spans="1:17">
      <c r="A24" s="1230">
        <f t="shared" si="5"/>
        <v>4</v>
      </c>
      <c r="B24" s="1230" t="s">
        <v>849</v>
      </c>
      <c r="C24" s="1456">
        <f>G47</f>
        <v>-5029149.6276965057</v>
      </c>
      <c r="D24" s="1457">
        <f t="shared" si="0"/>
        <v>8.3321350397019461E-2</v>
      </c>
      <c r="E24" s="1458">
        <f t="shared" si="1"/>
        <v>-10585270</v>
      </c>
      <c r="F24" s="1459">
        <v>8.698323061964805E-2</v>
      </c>
      <c r="G24" s="1460">
        <f t="shared" si="2"/>
        <v>-437451.6818866423</v>
      </c>
      <c r="H24" s="1460">
        <f t="shared" si="3"/>
        <v>-920740.98158124194</v>
      </c>
      <c r="I24" s="1458">
        <f t="shared" si="4"/>
        <v>483289.29969459964</v>
      </c>
      <c r="N24" s="1241"/>
      <c r="O24" s="1241"/>
      <c r="P24" s="1241"/>
      <c r="Q24" s="1241"/>
    </row>
    <row r="25" spans="1:17">
      <c r="A25" s="1230">
        <f t="shared" si="5"/>
        <v>5</v>
      </c>
      <c r="B25" s="1230" t="s">
        <v>850</v>
      </c>
      <c r="C25" s="1456">
        <f>H47</f>
        <v>-536872.72435634432</v>
      </c>
      <c r="D25" s="1457">
        <f t="shared" si="0"/>
        <v>8.8947364258848641E-3</v>
      </c>
      <c r="E25" s="1458">
        <f t="shared" si="1"/>
        <v>-1130001</v>
      </c>
      <c r="F25" s="1459">
        <v>0.12563147562389748</v>
      </c>
      <c r="G25" s="1460">
        <f t="shared" si="2"/>
        <v>-67448.112583109498</v>
      </c>
      <c r="H25" s="1460">
        <f t="shared" si="3"/>
        <v>-141963.69308647979</v>
      </c>
      <c r="I25" s="1458">
        <f t="shared" si="4"/>
        <v>74515.580503370293</v>
      </c>
      <c r="N25" s="1241"/>
      <c r="O25" s="1241"/>
      <c r="P25" s="1241"/>
      <c r="Q25" s="1241"/>
    </row>
    <row r="26" spans="1:17">
      <c r="A26" s="1230">
        <f t="shared" si="5"/>
        <v>6</v>
      </c>
      <c r="B26" s="1230" t="s">
        <v>851</v>
      </c>
      <c r="C26" s="1456">
        <f>I47</f>
        <v>-15971668.870504033</v>
      </c>
      <c r="D26" s="1457">
        <f t="shared" si="0"/>
        <v>0.26461352652058007</v>
      </c>
      <c r="E26" s="1458">
        <f t="shared" si="1"/>
        <v>-33616901</v>
      </c>
      <c r="F26" s="1459">
        <v>0.12672042175105022</v>
      </c>
      <c r="G26" s="1460">
        <f t="shared" si="2"/>
        <v>-2023936.6153383909</v>
      </c>
      <c r="H26" s="1460">
        <f t="shared" si="3"/>
        <v>-4259947.8726833016</v>
      </c>
      <c r="I26" s="1458">
        <f t="shared" si="4"/>
        <v>2236011.2573449109</v>
      </c>
      <c r="N26" s="1241"/>
      <c r="O26" s="1241"/>
      <c r="P26" s="1241"/>
      <c r="Q26" s="1241"/>
    </row>
    <row r="27" spans="1:17">
      <c r="A27" s="1230">
        <f t="shared" si="5"/>
        <v>7</v>
      </c>
      <c r="B27" s="1230" t="s">
        <v>852</v>
      </c>
      <c r="C27" s="1456">
        <f>J47</f>
        <v>-937536.3120495826</v>
      </c>
      <c r="D27" s="1457">
        <f t="shared" si="0"/>
        <v>1.5532803227012431E-2</v>
      </c>
      <c r="E27" s="1461">
        <f t="shared" si="1"/>
        <v>-1973311</v>
      </c>
      <c r="F27" s="1462">
        <v>3.775205904485987E-2</v>
      </c>
      <c r="G27" s="1463">
        <f t="shared" si="2"/>
        <v>-35393.926209196012</v>
      </c>
      <c r="H27" s="1463">
        <f t="shared" si="3"/>
        <v>-74496.553385871477</v>
      </c>
      <c r="I27" s="1461">
        <f t="shared" si="4"/>
        <v>39102.627176675465</v>
      </c>
      <c r="N27" s="1241"/>
      <c r="O27" s="1241"/>
      <c r="P27" s="1241"/>
      <c r="Q27" s="1241"/>
    </row>
    <row r="28" spans="1:17">
      <c r="A28" s="1230">
        <f t="shared" si="5"/>
        <v>8</v>
      </c>
      <c r="B28" s="1240" t="str">
        <f>"Sum of Lines "&amp;A22&amp;" to "&amp;A27&amp;""</f>
        <v>Sum of Lines 2 to 7</v>
      </c>
      <c r="C28" s="1458">
        <f>SUM(C22:C27)</f>
        <v>-60358474.7934715</v>
      </c>
      <c r="D28" s="1464"/>
      <c r="E28" s="1460">
        <f>+E12</f>
        <v>-127041505</v>
      </c>
      <c r="F28" s="1460"/>
      <c r="G28" s="1460">
        <f>SUM(G22:G27)</f>
        <v>-5603093.2463181876</v>
      </c>
      <c r="H28" s="1460">
        <f>SUM(H22:H27)</f>
        <v>-11793296.755386202</v>
      </c>
      <c r="I28" s="1460">
        <f>SUM(I22:I27)</f>
        <v>6190203.5090680132</v>
      </c>
      <c r="N28" s="1241"/>
      <c r="O28" s="1241"/>
      <c r="P28" s="1241"/>
      <c r="Q28" s="1241"/>
    </row>
    <row r="29" spans="1:17">
      <c r="C29" s="1458"/>
      <c r="D29" s="1464"/>
      <c r="E29" s="1464"/>
      <c r="F29" s="1464"/>
      <c r="G29" s="1464"/>
      <c r="H29" s="1464"/>
      <c r="I29" s="1464"/>
      <c r="N29" s="1241"/>
      <c r="O29" s="1241"/>
      <c r="P29" s="1241"/>
      <c r="Q29" s="1241"/>
    </row>
    <row r="30" spans="1:17">
      <c r="C30" s="1464"/>
      <c r="D30" s="1464"/>
      <c r="E30" s="1464"/>
      <c r="F30" s="1464"/>
      <c r="G30" s="1464"/>
      <c r="H30" s="1464"/>
      <c r="I30" s="1465"/>
      <c r="N30" s="1241"/>
      <c r="O30" s="1241"/>
      <c r="P30" s="1241"/>
      <c r="Q30" s="1241"/>
    </row>
    <row r="31" spans="1:17">
      <c r="C31" s="1464"/>
      <c r="D31" s="1464"/>
      <c r="E31" s="1464"/>
      <c r="F31" s="1464"/>
      <c r="G31" s="1464"/>
      <c r="H31" s="1464"/>
      <c r="I31" s="1465"/>
      <c r="J31" s="1241"/>
      <c r="K31" s="1241"/>
      <c r="L31" s="1241"/>
      <c r="M31" s="1241"/>
      <c r="N31" s="1241"/>
      <c r="O31" s="1241"/>
      <c r="P31" s="1241"/>
      <c r="Q31" s="1241"/>
    </row>
    <row r="32" spans="1:17">
      <c r="I32" s="1254"/>
      <c r="J32" s="1241"/>
      <c r="K32" s="1241"/>
      <c r="L32" s="1241"/>
      <c r="M32" s="1241"/>
      <c r="N32" s="1241"/>
      <c r="O32" s="1241"/>
      <c r="P32" s="1241"/>
      <c r="Q32" s="1241"/>
    </row>
    <row r="33" spans="1:17">
      <c r="B33" s="1243" t="s">
        <v>861</v>
      </c>
      <c r="F33" s="1244"/>
      <c r="I33" s="1254"/>
      <c r="J33" s="1241"/>
      <c r="K33" s="1241"/>
      <c r="L33" s="1241"/>
      <c r="M33" s="1241"/>
      <c r="N33" s="1241"/>
      <c r="O33" s="1241"/>
      <c r="P33" s="1241"/>
      <c r="Q33" s="1241"/>
    </row>
    <row r="34" spans="1:17">
      <c r="E34" s="1244"/>
      <c r="I34" s="1245"/>
      <c r="J34" s="1241"/>
      <c r="K34" s="1241"/>
      <c r="L34" s="1241"/>
      <c r="M34" s="1241"/>
      <c r="N34" s="1241"/>
      <c r="O34" s="1241"/>
      <c r="P34" s="1241"/>
      <c r="Q34" s="1241"/>
    </row>
    <row r="35" spans="1:17">
      <c r="D35" s="1246" t="s">
        <v>847</v>
      </c>
      <c r="E35" s="1247"/>
      <c r="F35" s="1246" t="s">
        <v>848</v>
      </c>
      <c r="G35" s="1246" t="s">
        <v>849</v>
      </c>
      <c r="H35" s="1246" t="s">
        <v>853</v>
      </c>
      <c r="I35" s="1248" t="s">
        <v>851</v>
      </c>
      <c r="J35" s="1248" t="s">
        <v>852</v>
      </c>
      <c r="K35" s="1248" t="s">
        <v>854</v>
      </c>
      <c r="L35" s="1241"/>
      <c r="M35" s="1241"/>
      <c r="N35" s="1241"/>
      <c r="O35" s="1241"/>
      <c r="P35" s="1241"/>
      <c r="Q35" s="1241"/>
    </row>
    <row r="36" spans="1:17">
      <c r="E36" s="1249"/>
      <c r="I36" s="1241"/>
      <c r="J36" s="1241"/>
      <c r="K36" s="1241"/>
      <c r="L36" s="1241"/>
      <c r="M36" s="1241"/>
      <c r="N36" s="1241"/>
      <c r="O36" s="1241"/>
      <c r="P36" s="1241"/>
      <c r="Q36" s="1241"/>
    </row>
    <row r="37" spans="1:17">
      <c r="A37" s="1230">
        <f>+A28+1</f>
        <v>9</v>
      </c>
      <c r="B37" s="1230" t="s">
        <v>855</v>
      </c>
      <c r="D37" s="1420">
        <v>-16929943</v>
      </c>
      <c r="E37" s="1421"/>
      <c r="F37" s="1420">
        <v>-14355966</v>
      </c>
      <c r="G37" s="1420">
        <v>-4183940</v>
      </c>
      <c r="H37" s="1420">
        <v>-371080</v>
      </c>
      <c r="I37" s="1420">
        <v>-11838564</v>
      </c>
      <c r="J37" s="1420">
        <v>-441661</v>
      </c>
      <c r="K37" s="1251">
        <f>SUM(D37:J37)</f>
        <v>-48121154</v>
      </c>
      <c r="L37" s="1241" t="s">
        <v>116</v>
      </c>
      <c r="M37" s="1241"/>
      <c r="N37" s="1241"/>
      <c r="O37" s="1241"/>
      <c r="P37" s="1241"/>
      <c r="Q37" s="1241"/>
    </row>
    <row r="38" spans="1:17">
      <c r="D38" s="1252"/>
      <c r="E38" s="1249"/>
      <c r="F38" s="1252"/>
      <c r="G38" s="1252"/>
      <c r="H38" s="1252"/>
      <c r="I38" s="1252"/>
      <c r="J38" s="1252"/>
    </row>
    <row r="39" spans="1:17" ht="12.75" customHeight="1">
      <c r="A39" s="1230">
        <f>+A37+1</f>
        <v>10</v>
      </c>
      <c r="B39" s="1579" t="s">
        <v>856</v>
      </c>
      <c r="C39" s="1579"/>
      <c r="D39" s="1420">
        <v>519245.20599999651</v>
      </c>
      <c r="E39" s="1421"/>
      <c r="F39" s="1420">
        <v>1847313.7100000065</v>
      </c>
      <c r="G39" s="1420">
        <v>418274</v>
      </c>
      <c r="H39" s="1420">
        <v>-5.9999999939464033E-2</v>
      </c>
      <c r="I39" s="1420">
        <v>0</v>
      </c>
      <c r="J39" s="1420">
        <v>-375743.97</v>
      </c>
      <c r="K39" s="1251"/>
      <c r="L39" s="1241"/>
      <c r="M39" s="1241"/>
      <c r="N39" s="1241"/>
      <c r="O39" s="1241"/>
      <c r="P39" s="1241"/>
      <c r="Q39" s="1241"/>
    </row>
    <row r="40" spans="1:17">
      <c r="B40" s="1253"/>
      <c r="C40" s="1253"/>
      <c r="D40" s="1244"/>
      <c r="E40" s="1249"/>
      <c r="F40" s="1244"/>
      <c r="G40" s="1244"/>
      <c r="H40" s="1244"/>
      <c r="I40" s="1244"/>
      <c r="J40" s="1244"/>
      <c r="K40" s="1254"/>
      <c r="L40" s="1241"/>
      <c r="M40" s="1241"/>
      <c r="N40" s="1241"/>
      <c r="O40" s="1241"/>
      <c r="P40" s="1241"/>
      <c r="Q40" s="1241"/>
    </row>
    <row r="41" spans="1:17">
      <c r="A41" s="1230">
        <f>+A39+1</f>
        <v>11</v>
      </c>
      <c r="B41" s="1230" t="s">
        <v>857</v>
      </c>
      <c r="D41" s="1420"/>
      <c r="E41" s="1421"/>
      <c r="F41" s="1420"/>
      <c r="G41" s="1420"/>
      <c r="H41" s="1420"/>
      <c r="I41" s="1420"/>
      <c r="J41" s="1420"/>
      <c r="K41" s="1251">
        <f>SUM(D41:J41)</f>
        <v>0</v>
      </c>
      <c r="L41" s="1241"/>
      <c r="M41" s="1241"/>
      <c r="N41" s="1241"/>
      <c r="O41" s="1241"/>
      <c r="P41" s="1241"/>
      <c r="Q41" s="1241"/>
    </row>
    <row r="42" spans="1:17">
      <c r="D42" s="1255"/>
      <c r="E42" s="1256"/>
      <c r="F42" s="1255"/>
      <c r="G42" s="1255"/>
      <c r="H42" s="1255"/>
      <c r="I42" s="1257"/>
      <c r="J42" s="1257"/>
      <c r="K42" s="1258"/>
      <c r="L42" s="1241"/>
      <c r="M42" s="1241"/>
      <c r="N42" s="1241"/>
      <c r="O42" s="1241"/>
      <c r="P42" s="1241"/>
      <c r="Q42" s="1241"/>
    </row>
    <row r="43" spans="1:17">
      <c r="A43" s="1230">
        <f>+A41+1</f>
        <v>12</v>
      </c>
      <c r="B43" s="1230" t="str">
        <f>"Net Company Expense (Ln "&amp;A37&amp;" + Ln "&amp;A39&amp;" + Ln  "&amp;A41&amp;")"</f>
        <v>Net Company Expense (Ln 9 + Ln 10 + Ln  11)</v>
      </c>
      <c r="D43" s="1244">
        <f t="shared" ref="D43:J43" si="6">+D37+D41+D39</f>
        <v>-16410697.794000003</v>
      </c>
      <c r="E43" s="1259"/>
      <c r="F43" s="1244">
        <f t="shared" si="6"/>
        <v>-12508652.289999994</v>
      </c>
      <c r="G43" s="1244">
        <f t="shared" si="6"/>
        <v>-3765666</v>
      </c>
      <c r="H43" s="1244">
        <f t="shared" si="6"/>
        <v>-371080.05999999994</v>
      </c>
      <c r="I43" s="1244">
        <f t="shared" si="6"/>
        <v>-11838564</v>
      </c>
      <c r="J43" s="1244">
        <f t="shared" si="6"/>
        <v>-817404.97</v>
      </c>
      <c r="K43" s="1251">
        <f>SUM(D43:J43)</f>
        <v>-45712065.113999993</v>
      </c>
      <c r="L43" s="1241"/>
      <c r="M43" s="1241"/>
      <c r="N43" s="1241"/>
      <c r="O43" s="1241"/>
      <c r="P43" s="1241"/>
      <c r="Q43" s="1241"/>
    </row>
    <row r="44" spans="1:17">
      <c r="E44" s="1249"/>
      <c r="G44" s="1244">
        <f>+G40+G42</f>
        <v>0</v>
      </c>
      <c r="I44" s="1241"/>
      <c r="J44" s="1241"/>
      <c r="K44" s="1254"/>
      <c r="L44" s="1260"/>
      <c r="M44" s="1241"/>
      <c r="N44" s="1241"/>
      <c r="O44" s="1241"/>
      <c r="P44" s="1241"/>
      <c r="Q44" s="1241"/>
    </row>
    <row r="45" spans="1:17">
      <c r="A45" s="1230">
        <f>+A43+1</f>
        <v>13</v>
      </c>
      <c r="B45" s="1575" t="s">
        <v>858</v>
      </c>
      <c r="C45" s="1575"/>
      <c r="D45" s="1420">
        <v>-5243609.6734757051</v>
      </c>
      <c r="E45" s="1421"/>
      <c r="F45" s="1420">
        <v>-3720287.5013893265</v>
      </c>
      <c r="G45" s="1420">
        <v>-1263483.627696506</v>
      </c>
      <c r="H45" s="1420">
        <v>-165792.66435634438</v>
      </c>
      <c r="I45" s="1420">
        <v>-4133104.8705040319</v>
      </c>
      <c r="J45" s="1420">
        <v>-120131.34204958257</v>
      </c>
      <c r="K45" s="1251">
        <f>SUM(D45:J45)</f>
        <v>-14646409.679471498</v>
      </c>
      <c r="L45" s="1261" t="s">
        <v>116</v>
      </c>
      <c r="M45" s="1241"/>
      <c r="N45" s="1241"/>
      <c r="O45" s="1241"/>
      <c r="P45" s="1241"/>
      <c r="Q45" s="1241"/>
    </row>
    <row r="46" spans="1:17">
      <c r="B46" s="1575"/>
      <c r="C46" s="1575"/>
      <c r="D46" s="1262"/>
      <c r="E46" s="1249"/>
      <c r="I46" s="1241"/>
      <c r="J46" s="1241"/>
      <c r="K46" s="1254"/>
      <c r="L46" s="1241"/>
      <c r="M46" s="1241"/>
      <c r="N46" s="1241"/>
      <c r="O46" s="1241"/>
      <c r="P46" s="1241"/>
      <c r="Q46" s="1241"/>
    </row>
    <row r="47" spans="1:17" ht="13.5" thickBot="1">
      <c r="A47" s="1230">
        <f>+A45+1</f>
        <v>14</v>
      </c>
      <c r="B47" s="1230" t="str">
        <f>"Company PBOP Expense (Ln "&amp;A43&amp;" + Ln  "&amp;A45&amp;")"</f>
        <v>Company PBOP Expense (Ln 12 + Ln  13)</v>
      </c>
      <c r="D47" s="1263">
        <f>+D45+D41+D39+D37</f>
        <v>-21654307.467475709</v>
      </c>
      <c r="E47" s="1264"/>
      <c r="F47" s="1263">
        <f>+F45+F41+F39+F37</f>
        <v>-16228939.79138932</v>
      </c>
      <c r="G47" s="1263">
        <f>+G45+G41+G39+G37</f>
        <v>-5029149.6276965057</v>
      </c>
      <c r="H47" s="1263">
        <f>+H45+H41+H39+H37</f>
        <v>-536872.72435634432</v>
      </c>
      <c r="I47" s="1263">
        <f>+I45+I41+I39+I37</f>
        <v>-15971668.870504033</v>
      </c>
      <c r="J47" s="1263">
        <f>+J45+J41+J39+J37</f>
        <v>-937536.3120495826</v>
      </c>
      <c r="K47" s="1265">
        <f>SUM(D47:J47)</f>
        <v>-60358474.7934715</v>
      </c>
      <c r="L47" s="1241"/>
      <c r="M47" s="1241"/>
      <c r="N47" s="1241"/>
      <c r="O47" s="1241"/>
      <c r="P47" s="1241"/>
      <c r="Q47" s="1241"/>
    </row>
    <row r="48" spans="1:17" ht="13.5" thickTop="1">
      <c r="I48" s="1241"/>
      <c r="J48" s="1241"/>
      <c r="K48" s="1241"/>
      <c r="L48" s="1241"/>
      <c r="M48" s="1241"/>
      <c r="N48" s="1241"/>
      <c r="O48" s="1241"/>
      <c r="P48" s="1241"/>
      <c r="Q48" s="1241"/>
    </row>
    <row r="49" spans="1:17">
      <c r="A49" s="1576" t="s">
        <v>859</v>
      </c>
      <c r="B49" s="1576"/>
      <c r="C49" s="1576"/>
      <c r="D49" s="1576"/>
      <c r="E49" s="1576"/>
      <c r="F49" s="1576"/>
      <c r="G49" s="1576"/>
      <c r="H49" s="1576"/>
      <c r="I49" s="1576"/>
      <c r="J49" s="1576"/>
      <c r="K49" s="1576"/>
      <c r="L49" s="1266"/>
      <c r="M49" s="1241"/>
      <c r="N49" s="1241"/>
      <c r="O49" s="1241"/>
      <c r="P49" s="1241"/>
      <c r="Q49" s="1241"/>
    </row>
    <row r="50" spans="1:17">
      <c r="A50" s="1576"/>
      <c r="B50" s="1576"/>
      <c r="C50" s="1576"/>
      <c r="D50" s="1576"/>
      <c r="E50" s="1576"/>
      <c r="F50" s="1576"/>
      <c r="G50" s="1576"/>
      <c r="H50" s="1576"/>
      <c r="I50" s="1576"/>
      <c r="J50" s="1576"/>
      <c r="K50" s="1576"/>
      <c r="L50" s="1241"/>
      <c r="M50" s="1241"/>
      <c r="N50" s="1241"/>
      <c r="O50" s="1241"/>
      <c r="P50" s="1241"/>
      <c r="Q50" s="1241"/>
    </row>
    <row r="51" spans="1:17">
      <c r="A51" s="1576"/>
      <c r="B51" s="1576"/>
      <c r="C51" s="1576"/>
      <c r="D51" s="1576"/>
      <c r="E51" s="1576"/>
      <c r="F51" s="1576"/>
      <c r="G51" s="1576"/>
      <c r="H51" s="1576"/>
      <c r="I51" s="1576"/>
      <c r="J51" s="1576"/>
      <c r="K51" s="1576"/>
      <c r="L51" s="1241"/>
      <c r="M51" s="1241"/>
      <c r="N51" s="1241"/>
      <c r="O51" s="1241"/>
      <c r="P51" s="1241"/>
      <c r="Q51" s="1241"/>
    </row>
    <row r="52" spans="1:17">
      <c r="A52" s="1576"/>
      <c r="B52" s="1576"/>
      <c r="C52" s="1576"/>
      <c r="D52" s="1576"/>
      <c r="E52" s="1576"/>
      <c r="F52" s="1576"/>
      <c r="G52" s="1576"/>
      <c r="H52" s="1576"/>
      <c r="I52" s="1576"/>
      <c r="J52" s="1576"/>
      <c r="K52" s="1576"/>
      <c r="Q52" s="1241"/>
    </row>
    <row r="53" spans="1:17">
      <c r="A53" s="1576"/>
      <c r="B53" s="1576"/>
      <c r="C53" s="1576"/>
      <c r="D53" s="1576"/>
      <c r="E53" s="1576"/>
      <c r="F53" s="1576"/>
      <c r="G53" s="1576"/>
      <c r="H53" s="1576"/>
      <c r="I53" s="1576"/>
      <c r="J53" s="1576"/>
      <c r="K53" s="1576"/>
      <c r="Q53" s="1241"/>
    </row>
    <row r="54" spans="1:17">
      <c r="A54" s="1576"/>
      <c r="B54" s="1576"/>
      <c r="C54" s="1576"/>
      <c r="D54" s="1576"/>
      <c r="E54" s="1576"/>
      <c r="F54" s="1576"/>
      <c r="G54" s="1576"/>
      <c r="H54" s="1576"/>
      <c r="I54" s="1576"/>
      <c r="J54" s="1576"/>
      <c r="K54" s="1576"/>
      <c r="Q54" s="1241"/>
    </row>
    <row r="55" spans="1:17">
      <c r="A55" s="1576"/>
      <c r="B55" s="1576"/>
      <c r="C55" s="1576"/>
      <c r="D55" s="1576"/>
      <c r="E55" s="1576"/>
      <c r="F55" s="1576"/>
      <c r="G55" s="1576"/>
      <c r="H55" s="1576"/>
      <c r="I55" s="1576"/>
      <c r="J55" s="1576"/>
      <c r="K55" s="1576"/>
      <c r="Q55" s="1241"/>
    </row>
    <row r="56" spans="1:17">
      <c r="A56" s="1576"/>
      <c r="B56" s="1576"/>
      <c r="C56" s="1576"/>
      <c r="D56" s="1576"/>
      <c r="E56" s="1576"/>
      <c r="F56" s="1576"/>
      <c r="G56" s="1576"/>
      <c r="H56" s="1576"/>
      <c r="I56" s="1576"/>
      <c r="J56" s="1576"/>
      <c r="K56" s="1576"/>
      <c r="Q56" s="1241"/>
    </row>
    <row r="57" spans="1:17">
      <c r="A57" s="1576"/>
      <c r="B57" s="1576"/>
      <c r="C57" s="1576"/>
      <c r="D57" s="1576"/>
      <c r="E57" s="1576"/>
      <c r="F57" s="1576"/>
      <c r="G57" s="1576"/>
      <c r="H57" s="1576"/>
      <c r="I57" s="1576"/>
      <c r="J57" s="1576"/>
      <c r="K57" s="1576"/>
      <c r="Q57" s="1241"/>
    </row>
    <row r="58" spans="1:17">
      <c r="Q58" s="1267"/>
    </row>
    <row r="62" spans="1:17" ht="12.75" customHeight="1"/>
    <row r="63" spans="1:17" ht="12.75" customHeight="1"/>
    <row r="65" ht="12.75" customHeight="1"/>
    <row r="80" ht="12.75" customHeight="1"/>
    <row r="81" ht="12.75" customHeight="1"/>
    <row r="82" ht="12.75" customHeight="1"/>
    <row r="98" spans="13:13">
      <c r="M98" s="1252"/>
    </row>
    <row r="99" spans="13:13">
      <c r="M99" s="1268"/>
    </row>
    <row r="100" spans="13:13">
      <c r="M100" s="1253"/>
    </row>
    <row r="101" spans="13:13" ht="12.75" customHeight="1">
      <c r="M101" s="1253"/>
    </row>
    <row r="102" spans="13:13">
      <c r="M102" s="1253"/>
    </row>
    <row r="103" spans="13:13">
      <c r="M103" s="1253"/>
    </row>
    <row r="104" spans="13:13">
      <c r="M104" s="1269"/>
    </row>
    <row r="105" spans="13:13">
      <c r="M105" s="1269"/>
    </row>
    <row r="106" spans="13:13">
      <c r="M106" s="1252"/>
    </row>
    <row r="107" spans="13:13">
      <c r="M107" s="1252"/>
    </row>
    <row r="108" spans="13:13">
      <c r="M108" s="1252"/>
    </row>
    <row r="109" spans="13:13">
      <c r="M109" s="1252"/>
    </row>
    <row r="110" spans="13:13">
      <c r="M110" s="1252"/>
    </row>
    <row r="111" spans="13:13">
      <c r="M111" s="1252"/>
    </row>
    <row r="112" spans="13:13">
      <c r="M112" s="1270"/>
    </row>
    <row r="113" spans="13:13">
      <c r="M113" s="1271"/>
    </row>
    <row r="115" spans="13:13">
      <c r="M115" s="1252"/>
    </row>
    <row r="120" spans="13:13">
      <c r="M120" s="1252"/>
    </row>
    <row r="121" spans="13:13">
      <c r="M121" s="1268"/>
    </row>
    <row r="122" spans="13:13">
      <c r="M122" s="1253"/>
    </row>
    <row r="123" spans="13:13" ht="12.75" customHeight="1">
      <c r="M123" s="1253"/>
    </row>
    <row r="124" spans="13:13">
      <c r="M124" s="1253"/>
    </row>
    <row r="125" spans="13:13">
      <c r="M125" s="1253"/>
    </row>
    <row r="126" spans="13:13">
      <c r="M126" s="1269"/>
    </row>
    <row r="127" spans="13:13">
      <c r="M127" s="1269"/>
    </row>
    <row r="128" spans="13:13">
      <c r="M128" s="1252"/>
    </row>
    <row r="129" spans="13:13">
      <c r="M129" s="1252"/>
    </row>
    <row r="130" spans="13:13">
      <c r="M130" s="1252"/>
    </row>
    <row r="131" spans="13:13">
      <c r="M131" s="1252"/>
    </row>
    <row r="132" spans="13:13">
      <c r="M132" s="1252"/>
    </row>
    <row r="133" spans="13:13">
      <c r="M133" s="1252"/>
    </row>
    <row r="134" spans="13:13">
      <c r="M134" s="1270"/>
    </row>
    <row r="135" spans="13:13">
      <c r="M135" s="1271"/>
    </row>
    <row r="137" spans="13:13">
      <c r="M137" s="1252"/>
    </row>
    <row r="142" spans="13:13">
      <c r="M142" s="1252"/>
    </row>
    <row r="143" spans="13:13">
      <c r="M143" s="1268"/>
    </row>
    <row r="144" spans="13:13">
      <c r="M144" s="1253"/>
    </row>
    <row r="145" spans="13:13" ht="12.75" customHeight="1">
      <c r="M145" s="1253"/>
    </row>
    <row r="146" spans="13:13">
      <c r="M146" s="1253"/>
    </row>
    <row r="147" spans="13:13">
      <c r="M147" s="1253"/>
    </row>
    <row r="148" spans="13:13">
      <c r="M148" s="1269"/>
    </row>
    <row r="149" spans="13:13">
      <c r="M149" s="1269"/>
    </row>
    <row r="150" spans="13:13">
      <c r="M150" s="1252"/>
    </row>
    <row r="151" spans="13:13">
      <c r="M151" s="1252"/>
    </row>
    <row r="152" spans="13:13">
      <c r="M152" s="1252"/>
    </row>
    <row r="153" spans="13:13">
      <c r="M153" s="1252"/>
    </row>
    <row r="154" spans="13:13">
      <c r="M154" s="1252"/>
    </row>
    <row r="155" spans="13:13">
      <c r="M155" s="1252"/>
    </row>
    <row r="156" spans="13:13">
      <c r="M156" s="1270"/>
    </row>
    <row r="157" spans="13:13">
      <c r="M157" s="1271"/>
    </row>
    <row r="159" spans="13:13">
      <c r="M159" s="1252"/>
    </row>
    <row r="164" spans="13:13">
      <c r="M164" s="1252"/>
    </row>
    <row r="165" spans="13:13">
      <c r="M165" s="1268"/>
    </row>
    <row r="166" spans="13:13">
      <c r="M166" s="1253"/>
    </row>
    <row r="167" spans="13:13" ht="12.75" customHeight="1">
      <c r="M167" s="1253"/>
    </row>
    <row r="168" spans="13:13">
      <c r="M168" s="1253"/>
    </row>
    <row r="169" spans="13:13">
      <c r="M169" s="1253"/>
    </row>
    <row r="170" spans="13:13">
      <c r="M170" s="1269"/>
    </row>
    <row r="171" spans="13:13">
      <c r="M171" s="1269"/>
    </row>
    <row r="172" spans="13:13">
      <c r="M172" s="1252"/>
    </row>
    <row r="173" spans="13:13">
      <c r="M173" s="1252"/>
    </row>
    <row r="174" spans="13:13">
      <c r="M174" s="1252"/>
    </row>
    <row r="175" spans="13:13">
      <c r="M175" s="1252"/>
    </row>
    <row r="176" spans="13:13">
      <c r="M176" s="1252"/>
    </row>
    <row r="177" spans="13:13">
      <c r="M177" s="1252"/>
    </row>
    <row r="178" spans="13:13">
      <c r="M178" s="1270"/>
    </row>
    <row r="179" spans="13:13">
      <c r="M179" s="1271"/>
    </row>
    <row r="181" spans="13:13">
      <c r="M181" s="1252"/>
    </row>
    <row r="186" spans="13:13">
      <c r="M186" s="1252"/>
    </row>
    <row r="187" spans="13:13">
      <c r="M187" s="1268"/>
    </row>
    <row r="188" spans="13:13" ht="12.75" customHeight="1">
      <c r="M188" s="1253"/>
    </row>
    <row r="189" spans="13:13" ht="12.75" customHeight="1">
      <c r="M189" s="1253"/>
    </row>
    <row r="190" spans="13:13">
      <c r="M190" s="1253"/>
    </row>
    <row r="191" spans="13:13" ht="12.75" customHeight="1">
      <c r="M191" s="1253"/>
    </row>
    <row r="192" spans="13:13">
      <c r="M192" s="1269"/>
    </row>
    <row r="193" spans="13:13">
      <c r="M193" s="1269"/>
    </row>
    <row r="194" spans="13:13">
      <c r="M194" s="1252"/>
    </row>
    <row r="195" spans="13:13">
      <c r="M195" s="1252"/>
    </row>
    <row r="196" spans="13:13">
      <c r="M196" s="1252"/>
    </row>
    <row r="197" spans="13:13">
      <c r="M197" s="1252"/>
    </row>
    <row r="198" spans="13:13">
      <c r="M198" s="1252"/>
    </row>
    <row r="199" spans="13:13">
      <c r="M199" s="1252"/>
    </row>
    <row r="200" spans="13:13">
      <c r="M200" s="1270"/>
    </row>
    <row r="201" spans="13:13">
      <c r="M201" s="1271"/>
    </row>
    <row r="203" spans="13:13">
      <c r="M203" s="1252"/>
    </row>
  </sheetData>
  <mergeCells count="16">
    <mergeCell ref="B14:C14"/>
    <mergeCell ref="B45:C46"/>
    <mergeCell ref="A49:K57"/>
    <mergeCell ref="C15:E15"/>
    <mergeCell ref="C16:C18"/>
    <mergeCell ref="D16:D18"/>
    <mergeCell ref="E16:E18"/>
    <mergeCell ref="I16:I18"/>
    <mergeCell ref="F17:F18"/>
    <mergeCell ref="H17:H18"/>
    <mergeCell ref="B39:C39"/>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activeCell="D263" sqref="D263"/>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43" t="s">
        <v>116</v>
      </c>
      <c r="B1" s="812"/>
      <c r="C1" s="812"/>
      <c r="D1" s="812"/>
      <c r="E1" s="812"/>
      <c r="F1" s="812"/>
      <c r="G1" s="289"/>
      <c r="H1" s="812"/>
      <c r="I1" s="812"/>
      <c r="J1" s="812"/>
      <c r="K1" s="812"/>
      <c r="L1" s="812"/>
      <c r="M1" s="812"/>
      <c r="N1" s="812"/>
      <c r="O1" s="812"/>
      <c r="P1" s="812"/>
      <c r="Q1" s="812"/>
      <c r="R1" s="812"/>
      <c r="S1" s="812"/>
    </row>
    <row r="2" spans="1:19" ht="15.75">
      <c r="A2" s="943" t="s">
        <v>116</v>
      </c>
      <c r="B2" s="812"/>
      <c r="C2" s="812"/>
      <c r="D2" s="812"/>
      <c r="E2" s="812"/>
      <c r="F2" s="812"/>
      <c r="G2" s="289"/>
      <c r="H2" s="812"/>
      <c r="I2" s="812"/>
      <c r="J2" s="812"/>
      <c r="K2" s="812"/>
      <c r="L2" s="812"/>
      <c r="M2" s="812"/>
      <c r="N2" s="812"/>
      <c r="O2" s="812"/>
      <c r="P2" s="812"/>
      <c r="Q2" s="812"/>
      <c r="R2" s="812"/>
      <c r="S2" s="812"/>
    </row>
    <row r="3" spans="1:19" ht="19.5">
      <c r="A3" s="1580" t="s">
        <v>393</v>
      </c>
      <c r="B3" s="1580"/>
      <c r="C3" s="1580"/>
      <c r="D3" s="1580"/>
      <c r="E3" s="1580"/>
      <c r="F3" s="1580"/>
      <c r="G3" s="1580"/>
      <c r="H3" s="1580"/>
      <c r="I3" s="1580"/>
      <c r="J3" s="1580"/>
      <c r="K3" s="1580"/>
      <c r="L3" s="1580"/>
      <c r="M3" s="1580"/>
      <c r="N3" s="1580"/>
      <c r="O3" s="1580"/>
      <c r="P3" s="811"/>
      <c r="Q3" s="811"/>
      <c r="R3" s="811"/>
      <c r="S3" s="811"/>
    </row>
    <row r="4" spans="1:19" ht="19.5">
      <c r="A4" s="1580" t="s">
        <v>394</v>
      </c>
      <c r="B4" s="1580"/>
      <c r="C4" s="1580"/>
      <c r="D4" s="1580"/>
      <c r="E4" s="1580"/>
      <c r="F4" s="1580"/>
      <c r="G4" s="1580"/>
      <c r="H4" s="1580"/>
      <c r="I4" s="1580"/>
      <c r="J4" s="1580"/>
      <c r="K4" s="1580"/>
      <c r="L4" s="1580"/>
      <c r="M4" s="1580"/>
      <c r="N4" s="1580"/>
      <c r="O4" s="1580"/>
      <c r="P4" s="811"/>
      <c r="Q4" s="811"/>
      <c r="R4" s="811"/>
      <c r="S4" s="811"/>
    </row>
    <row r="5" spans="1:19" ht="19.5">
      <c r="A5" s="1580" t="s">
        <v>395</v>
      </c>
      <c r="B5" s="1580"/>
      <c r="C5" s="1580"/>
      <c r="D5" s="1580"/>
      <c r="E5" s="1580"/>
      <c r="F5" s="1580"/>
      <c r="G5" s="1580"/>
      <c r="H5" s="1580"/>
      <c r="I5" s="1580"/>
      <c r="J5" s="1580"/>
      <c r="K5" s="1580"/>
      <c r="L5" s="1580"/>
      <c r="M5" s="1580"/>
      <c r="N5" s="1580"/>
      <c r="O5" s="1580"/>
      <c r="P5" s="811"/>
      <c r="Q5" s="811"/>
      <c r="R5" s="811"/>
      <c r="S5" s="811"/>
    </row>
    <row r="6" spans="1:19" ht="19.5">
      <c r="A6" s="1580" t="s">
        <v>396</v>
      </c>
      <c r="B6" s="1580"/>
      <c r="C6" s="1580"/>
      <c r="D6" s="1580"/>
      <c r="E6" s="1580"/>
      <c r="F6" s="1580"/>
      <c r="G6" s="1580"/>
      <c r="H6" s="1580"/>
      <c r="I6" s="1580"/>
      <c r="J6" s="1580"/>
      <c r="K6" s="1580"/>
      <c r="L6" s="1580"/>
      <c r="M6" s="1580"/>
      <c r="N6" s="1580"/>
      <c r="O6" s="1580"/>
      <c r="P6" s="811"/>
      <c r="Q6" s="811"/>
      <c r="R6" s="811"/>
      <c r="S6" s="811"/>
    </row>
    <row r="7" spans="1:19" ht="19.5">
      <c r="A7" s="1580" t="s">
        <v>1307</v>
      </c>
      <c r="B7" s="1580"/>
      <c r="C7" s="1580"/>
      <c r="D7" s="1580"/>
      <c r="E7" s="1580"/>
      <c r="F7" s="1580"/>
      <c r="G7" s="1580"/>
      <c r="H7" s="1580"/>
      <c r="I7" s="1580"/>
      <c r="J7" s="1580"/>
      <c r="K7" s="1580"/>
      <c r="L7" s="1580"/>
      <c r="M7" s="1580"/>
      <c r="N7" s="1580"/>
      <c r="O7" s="1580"/>
      <c r="P7" s="811"/>
      <c r="Q7" s="811"/>
      <c r="R7" s="811"/>
      <c r="S7" s="811"/>
    </row>
    <row r="8" spans="1:19" ht="19.5">
      <c r="A8" s="1580" t="s">
        <v>397</v>
      </c>
      <c r="B8" s="1580"/>
      <c r="C8" s="1580"/>
      <c r="D8" s="1580"/>
      <c r="E8" s="1580"/>
      <c r="F8" s="1580"/>
      <c r="G8" s="1580"/>
      <c r="H8" s="1580"/>
      <c r="I8" s="1580"/>
      <c r="J8" s="1580"/>
      <c r="K8" s="1580"/>
      <c r="L8" s="1580"/>
      <c r="M8" s="1580"/>
      <c r="N8" s="1580"/>
      <c r="O8" s="1580"/>
      <c r="P8" s="811"/>
      <c r="Q8" s="811"/>
      <c r="R8" s="811"/>
      <c r="S8" s="811"/>
    </row>
    <row r="9" spans="1:19" ht="19.5">
      <c r="A9" s="1581" t="s">
        <v>1320</v>
      </c>
      <c r="B9" s="1580"/>
      <c r="C9" s="1580"/>
      <c r="D9" s="1580"/>
      <c r="E9" s="1580"/>
      <c r="F9" s="1580"/>
      <c r="G9" s="1580"/>
      <c r="H9" s="1580"/>
      <c r="I9" s="1580"/>
      <c r="J9" s="1580"/>
      <c r="K9" s="1580"/>
      <c r="L9" s="1580"/>
      <c r="M9" s="1580"/>
      <c r="N9" s="1580"/>
      <c r="O9" s="1580"/>
      <c r="P9" s="811"/>
      <c r="Q9" s="811"/>
      <c r="R9" s="811"/>
      <c r="S9" s="811"/>
    </row>
    <row r="10" spans="1:19" ht="19.5">
      <c r="A10" s="1582"/>
      <c r="B10" s="1582"/>
      <c r="C10" s="1582"/>
      <c r="D10" s="1582"/>
      <c r="E10" s="1582"/>
      <c r="F10" s="1582"/>
      <c r="G10" s="1582"/>
      <c r="H10" s="1582"/>
      <c r="I10" s="1582"/>
      <c r="J10" s="1582"/>
      <c r="K10" s="1582"/>
      <c r="L10" s="1582"/>
      <c r="M10" s="1582"/>
      <c r="N10" s="1582"/>
      <c r="O10" s="1582"/>
      <c r="P10" s="813"/>
      <c r="Q10" s="813"/>
      <c r="R10" s="813"/>
      <c r="S10" s="813"/>
    </row>
    <row r="11" spans="1:19" ht="15">
      <c r="A11" s="812"/>
      <c r="B11" s="812"/>
      <c r="C11" s="812"/>
      <c r="D11" s="812"/>
      <c r="E11" s="812"/>
      <c r="F11" s="812"/>
      <c r="G11" s="289"/>
      <c r="H11" s="812"/>
      <c r="I11" s="812"/>
      <c r="J11" s="812"/>
      <c r="K11" s="812"/>
      <c r="L11" s="812"/>
      <c r="M11" s="812"/>
      <c r="N11" s="812"/>
      <c r="O11" s="812"/>
      <c r="P11" s="812"/>
      <c r="Q11" s="812"/>
      <c r="R11" s="812"/>
      <c r="S11" s="812"/>
    </row>
    <row r="12" spans="1:19" ht="16.5" thickBot="1">
      <c r="A12" s="814"/>
      <c r="B12" s="814"/>
      <c r="C12" s="1583" t="s">
        <v>606</v>
      </c>
      <c r="D12" s="1583"/>
      <c r="E12" s="1583"/>
      <c r="F12" s="814"/>
      <c r="G12" s="1583" t="s">
        <v>607</v>
      </c>
      <c r="H12" s="1583"/>
      <c r="I12" s="1583"/>
      <c r="J12" s="814"/>
      <c r="K12" s="1583" t="s">
        <v>398</v>
      </c>
      <c r="L12" s="1583"/>
      <c r="M12" s="1583"/>
      <c r="N12" s="814"/>
      <c r="O12" s="1583" t="s">
        <v>608</v>
      </c>
      <c r="P12" s="1583"/>
      <c r="Q12" s="1583"/>
      <c r="R12" s="814"/>
      <c r="S12" s="1325" t="s">
        <v>399</v>
      </c>
    </row>
    <row r="13" spans="1:19" ht="15">
      <c r="A13" s="814"/>
      <c r="B13" s="814"/>
      <c r="C13" s="815" t="s">
        <v>123</v>
      </c>
      <c r="D13" s="816"/>
      <c r="E13" s="816"/>
      <c r="F13" s="816"/>
      <c r="G13" s="817" t="s">
        <v>124</v>
      </c>
      <c r="H13" s="818"/>
      <c r="I13" s="818"/>
      <c r="J13" s="818"/>
      <c r="K13" s="819" t="s">
        <v>125</v>
      </c>
      <c r="L13" s="818"/>
      <c r="M13" s="818"/>
      <c r="N13" s="818"/>
      <c r="O13" s="820" t="s">
        <v>126</v>
      </c>
      <c r="P13" s="818"/>
      <c r="Q13" s="818"/>
      <c r="R13" s="818"/>
      <c r="S13" s="818"/>
    </row>
    <row r="14" spans="1:19" ht="15">
      <c r="A14" s="814"/>
      <c r="B14" s="814"/>
      <c r="C14" s="815" t="s">
        <v>116</v>
      </c>
      <c r="D14" s="816"/>
      <c r="E14" s="815" t="s">
        <v>400</v>
      </c>
      <c r="F14" s="816"/>
      <c r="G14" s="817" t="s">
        <v>609</v>
      </c>
      <c r="H14" s="816"/>
      <c r="I14" s="815" t="s">
        <v>400</v>
      </c>
      <c r="J14" s="816"/>
      <c r="K14" s="812"/>
      <c r="L14" s="816"/>
      <c r="M14" s="815" t="s">
        <v>400</v>
      </c>
      <c r="N14" s="816"/>
      <c r="O14" s="812"/>
      <c r="P14" s="816"/>
      <c r="Q14" s="815" t="s">
        <v>400</v>
      </c>
      <c r="R14" s="816"/>
      <c r="S14" s="815" t="s">
        <v>400</v>
      </c>
    </row>
    <row r="15" spans="1:19" ht="15">
      <c r="A15" s="814"/>
      <c r="B15" s="815" t="s">
        <v>401</v>
      </c>
      <c r="C15" s="815" t="s">
        <v>610</v>
      </c>
      <c r="D15" s="815" t="s">
        <v>402</v>
      </c>
      <c r="E15" s="815" t="s">
        <v>403</v>
      </c>
      <c r="F15" s="816"/>
      <c r="G15" s="817" t="s">
        <v>404</v>
      </c>
      <c r="H15" s="815" t="s">
        <v>402</v>
      </c>
      <c r="I15" s="815" t="s">
        <v>403</v>
      </c>
      <c r="J15" s="816"/>
      <c r="K15" s="815" t="s">
        <v>81</v>
      </c>
      <c r="L15" s="815" t="s">
        <v>402</v>
      </c>
      <c r="M15" s="815" t="s">
        <v>403</v>
      </c>
      <c r="N15" s="816"/>
      <c r="O15" s="815" t="s">
        <v>81</v>
      </c>
      <c r="P15" s="815" t="s">
        <v>402</v>
      </c>
      <c r="Q15" s="815" t="s">
        <v>403</v>
      </c>
      <c r="R15" s="816"/>
      <c r="S15" s="815" t="s">
        <v>403</v>
      </c>
    </row>
    <row r="16" spans="1:19" ht="15">
      <c r="A16" s="815"/>
      <c r="B16" s="815" t="s">
        <v>405</v>
      </c>
      <c r="C16" s="815" t="s">
        <v>406</v>
      </c>
      <c r="D16" s="815" t="s">
        <v>611</v>
      </c>
      <c r="E16" s="815" t="s">
        <v>407</v>
      </c>
      <c r="F16" s="816"/>
      <c r="G16" s="817" t="s">
        <v>406</v>
      </c>
      <c r="H16" s="815" t="s">
        <v>611</v>
      </c>
      <c r="I16" s="815" t="s">
        <v>407</v>
      </c>
      <c r="J16" s="816"/>
      <c r="K16" s="815" t="s">
        <v>406</v>
      </c>
      <c r="L16" s="815" t="s">
        <v>611</v>
      </c>
      <c r="M16" s="815" t="s">
        <v>407</v>
      </c>
      <c r="N16" s="816"/>
      <c r="O16" s="815" t="s">
        <v>406</v>
      </c>
      <c r="P16" s="815" t="s">
        <v>611</v>
      </c>
      <c r="Q16" s="815" t="s">
        <v>407</v>
      </c>
      <c r="R16" s="816"/>
      <c r="S16" s="815" t="s">
        <v>407</v>
      </c>
    </row>
    <row r="17" spans="1:19" ht="15">
      <c r="A17" s="812"/>
      <c r="B17" s="812"/>
      <c r="C17" s="812"/>
      <c r="D17" s="812"/>
      <c r="E17" s="812"/>
      <c r="F17" s="812"/>
      <c r="G17" s="289"/>
      <c r="H17" s="812"/>
      <c r="I17" s="812"/>
      <c r="J17" s="812"/>
      <c r="K17" s="812"/>
      <c r="L17" s="812"/>
      <c r="M17" s="812"/>
      <c r="N17" s="812"/>
      <c r="O17" s="812"/>
      <c r="P17" s="812"/>
      <c r="Q17" s="812"/>
      <c r="R17" s="812"/>
      <c r="S17" s="812"/>
    </row>
    <row r="18" spans="1:19" ht="15.75" thickBot="1">
      <c r="A18" s="821"/>
      <c r="B18" s="814"/>
      <c r="C18" s="283"/>
      <c r="D18" s="814"/>
      <c r="E18" s="814"/>
      <c r="F18" s="814"/>
      <c r="G18" s="283"/>
      <c r="H18" s="814"/>
      <c r="I18" s="814"/>
      <c r="J18" s="814"/>
      <c r="K18" s="335"/>
      <c r="L18" s="814"/>
      <c r="M18" s="814"/>
      <c r="N18" s="814"/>
      <c r="O18" s="335"/>
      <c r="P18" s="814"/>
      <c r="Q18" s="814"/>
      <c r="R18" s="814"/>
      <c r="S18" s="814"/>
    </row>
    <row r="19" spans="1:19" ht="15">
      <c r="A19" s="822" t="s">
        <v>408</v>
      </c>
      <c r="B19" s="823"/>
      <c r="C19" s="284"/>
      <c r="D19" s="285"/>
      <c r="E19" s="286"/>
      <c r="F19" s="823"/>
      <c r="G19" s="284"/>
      <c r="H19" s="287"/>
      <c r="I19" s="286"/>
      <c r="J19" s="823"/>
      <c r="K19" s="823"/>
      <c r="L19" s="287"/>
      <c r="M19" s="286"/>
      <c r="N19" s="823"/>
      <c r="O19" s="823"/>
      <c r="P19" s="285"/>
      <c r="Q19" s="286"/>
      <c r="R19" s="823"/>
      <c r="S19" s="286"/>
    </row>
    <row r="20" spans="1:19" ht="15">
      <c r="A20" s="824" t="s">
        <v>612</v>
      </c>
      <c r="B20" s="288">
        <v>350.1</v>
      </c>
      <c r="C20" s="283">
        <v>6.5839999999999996E-3</v>
      </c>
      <c r="D20" s="336">
        <v>1</v>
      </c>
      <c r="E20" s="283">
        <f>ROUND((C20*D20),4)</f>
        <v>6.6E-3</v>
      </c>
      <c r="F20" s="825"/>
      <c r="G20" s="283"/>
      <c r="H20" s="337"/>
      <c r="I20" s="289"/>
      <c r="J20" s="825"/>
      <c r="K20" s="283"/>
      <c r="L20" s="337"/>
      <c r="M20" s="338"/>
      <c r="N20" s="825"/>
      <c r="O20" s="283"/>
      <c r="P20" s="336"/>
      <c r="Q20" s="338"/>
      <c r="R20" s="825"/>
      <c r="S20" s="283">
        <f>ROUND((((E20+I20)+M20)+Q20),4)</f>
        <v>6.6E-3</v>
      </c>
    </row>
    <row r="21" spans="1:19" ht="15">
      <c r="A21" s="824" t="s">
        <v>613</v>
      </c>
      <c r="B21" s="288">
        <v>351</v>
      </c>
      <c r="C21" s="283"/>
      <c r="D21" s="336"/>
      <c r="E21" s="283"/>
      <c r="F21" s="825"/>
      <c r="G21" s="283">
        <v>0.14219999999999999</v>
      </c>
      <c r="H21" s="337">
        <v>1</v>
      </c>
      <c r="I21" s="283">
        <f>ROUND((G21*H21),4)</f>
        <v>0.14219999999999999</v>
      </c>
      <c r="J21" s="825"/>
      <c r="K21" s="283"/>
      <c r="L21" s="337"/>
      <c r="M21" s="338"/>
      <c r="N21" s="825"/>
      <c r="O21" s="283"/>
      <c r="P21" s="336"/>
      <c r="Q21" s="338"/>
      <c r="R21" s="825"/>
      <c r="S21" s="283">
        <f>I21</f>
        <v>0.14219999999999999</v>
      </c>
    </row>
    <row r="22" spans="1:19" ht="15">
      <c r="A22" s="826" t="s">
        <v>409</v>
      </c>
      <c r="B22" s="288">
        <v>352</v>
      </c>
      <c r="C22" s="283">
        <v>1.9900000000000001E-2</v>
      </c>
      <c r="D22" s="290">
        <v>0.49482100000000001</v>
      </c>
      <c r="E22" s="283">
        <f t="shared" ref="E22:E28" si="0">ROUND((C22*D22),4)</f>
        <v>9.7999999999999997E-3</v>
      </c>
      <c r="F22" s="825"/>
      <c r="G22" s="283">
        <v>1.6199999999999999E-2</v>
      </c>
      <c r="H22" s="290">
        <v>0.41108299999999998</v>
      </c>
      <c r="I22" s="283">
        <f t="shared" ref="I22:I28" si="1">ROUND((G22*H22),4)</f>
        <v>6.7000000000000002E-3</v>
      </c>
      <c r="J22" s="825"/>
      <c r="K22" s="283">
        <v>2.1899999999999999E-2</v>
      </c>
      <c r="L22" s="290">
        <v>3.6533000000000003E-2</v>
      </c>
      <c r="M22" s="283">
        <f t="shared" ref="M22:M28" si="2">ROUND((K22*L22),4)</f>
        <v>8.0000000000000004E-4</v>
      </c>
      <c r="N22" s="825"/>
      <c r="O22" s="283">
        <v>2.1899999999999999E-2</v>
      </c>
      <c r="P22" s="290">
        <v>5.7563000000000003E-2</v>
      </c>
      <c r="Q22" s="283">
        <f t="shared" ref="Q22:Q28" si="3">ROUND((O22*P22),4)</f>
        <v>1.2999999999999999E-3</v>
      </c>
      <c r="R22" s="825"/>
      <c r="S22" s="283">
        <f t="shared" ref="S22:S28" si="4">ROUND((((E22+I22)+M22)+Q22),4)</f>
        <v>1.8599999999999998E-2</v>
      </c>
    </row>
    <row r="23" spans="1:19" ht="15">
      <c r="A23" s="826" t="s">
        <v>410</v>
      </c>
      <c r="B23" s="288">
        <v>353</v>
      </c>
      <c r="C23" s="283">
        <v>2.7E-2</v>
      </c>
      <c r="D23" s="290">
        <v>0.49482100000000001</v>
      </c>
      <c r="E23" s="283">
        <f t="shared" si="0"/>
        <v>1.34E-2</v>
      </c>
      <c r="F23" s="825"/>
      <c r="G23" s="283">
        <v>2.3699999999999999E-2</v>
      </c>
      <c r="H23" s="290">
        <v>0.41108299999999998</v>
      </c>
      <c r="I23" s="283">
        <f t="shared" si="1"/>
        <v>9.7000000000000003E-3</v>
      </c>
      <c r="J23" s="825"/>
      <c r="K23" s="283">
        <v>2.1899999999999999E-2</v>
      </c>
      <c r="L23" s="290">
        <v>3.6533000000000003E-2</v>
      </c>
      <c r="M23" s="283">
        <f t="shared" si="2"/>
        <v>8.0000000000000004E-4</v>
      </c>
      <c r="N23" s="825"/>
      <c r="O23" s="283">
        <v>2.1899999999999999E-2</v>
      </c>
      <c r="P23" s="290">
        <v>5.7563000000000003E-2</v>
      </c>
      <c r="Q23" s="283">
        <f t="shared" si="3"/>
        <v>1.2999999999999999E-3</v>
      </c>
      <c r="R23" s="825"/>
      <c r="S23" s="283">
        <f t="shared" si="4"/>
        <v>2.52E-2</v>
      </c>
    </row>
    <row r="24" spans="1:19" ht="15">
      <c r="A24" s="826" t="s">
        <v>411</v>
      </c>
      <c r="B24" s="288">
        <v>354</v>
      </c>
      <c r="C24" s="283">
        <v>1.6400000000000001E-2</v>
      </c>
      <c r="D24" s="290">
        <v>0.49482100000000001</v>
      </c>
      <c r="E24" s="283">
        <f t="shared" si="0"/>
        <v>8.0999999999999996E-3</v>
      </c>
      <c r="F24" s="825"/>
      <c r="G24" s="283">
        <v>1.5900000000000001E-2</v>
      </c>
      <c r="H24" s="290">
        <v>0.41108299999999998</v>
      </c>
      <c r="I24" s="283">
        <f t="shared" si="1"/>
        <v>6.4999999999999997E-3</v>
      </c>
      <c r="J24" s="825"/>
      <c r="K24" s="283">
        <v>2.1899999999999999E-2</v>
      </c>
      <c r="L24" s="290">
        <v>3.6533000000000003E-2</v>
      </c>
      <c r="M24" s="283">
        <f t="shared" si="2"/>
        <v>8.0000000000000004E-4</v>
      </c>
      <c r="N24" s="825"/>
      <c r="O24" s="283">
        <v>2.1899999999999999E-2</v>
      </c>
      <c r="P24" s="290">
        <v>5.7563000000000003E-2</v>
      </c>
      <c r="Q24" s="283">
        <f t="shared" si="3"/>
        <v>1.2999999999999999E-3</v>
      </c>
      <c r="R24" s="825"/>
      <c r="S24" s="283">
        <f t="shared" si="4"/>
        <v>1.67E-2</v>
      </c>
    </row>
    <row r="25" spans="1:19" ht="15">
      <c r="A25" s="826" t="s">
        <v>412</v>
      </c>
      <c r="B25" s="288">
        <v>355</v>
      </c>
      <c r="C25" s="283">
        <v>3.4599999999999999E-2</v>
      </c>
      <c r="D25" s="290">
        <v>0.49482100000000001</v>
      </c>
      <c r="E25" s="283">
        <f t="shared" si="0"/>
        <v>1.7100000000000001E-2</v>
      </c>
      <c r="F25" s="825"/>
      <c r="G25" s="283">
        <v>2.7099999999999999E-2</v>
      </c>
      <c r="H25" s="290">
        <v>0.41108299999999998</v>
      </c>
      <c r="I25" s="283">
        <f t="shared" si="1"/>
        <v>1.11E-2</v>
      </c>
      <c r="J25" s="825"/>
      <c r="K25" s="283">
        <v>2.1899999999999999E-2</v>
      </c>
      <c r="L25" s="290">
        <v>3.6533000000000003E-2</v>
      </c>
      <c r="M25" s="283">
        <f t="shared" si="2"/>
        <v>8.0000000000000004E-4</v>
      </c>
      <c r="N25" s="825"/>
      <c r="O25" s="283">
        <v>2.1899999999999999E-2</v>
      </c>
      <c r="P25" s="290">
        <v>5.7563000000000003E-2</v>
      </c>
      <c r="Q25" s="283">
        <f t="shared" si="3"/>
        <v>1.2999999999999999E-3</v>
      </c>
      <c r="R25" s="825"/>
      <c r="S25" s="283">
        <f t="shared" si="4"/>
        <v>3.0300000000000001E-2</v>
      </c>
    </row>
    <row r="26" spans="1:19" ht="15">
      <c r="A26" s="826" t="s">
        <v>614</v>
      </c>
      <c r="B26" s="288">
        <v>356</v>
      </c>
      <c r="C26" s="283">
        <v>1.6500000000000001E-2</v>
      </c>
      <c r="D26" s="290">
        <v>0.49482100000000001</v>
      </c>
      <c r="E26" s="283">
        <f t="shared" si="0"/>
        <v>8.2000000000000007E-3</v>
      </c>
      <c r="F26" s="825"/>
      <c r="G26" s="283">
        <v>1.5299999999999999E-2</v>
      </c>
      <c r="H26" s="290">
        <v>0.41108299999999998</v>
      </c>
      <c r="I26" s="283">
        <f t="shared" si="1"/>
        <v>6.3E-3</v>
      </c>
      <c r="J26" s="825"/>
      <c r="K26" s="283">
        <v>2.1899999999999999E-2</v>
      </c>
      <c r="L26" s="290">
        <v>3.6533000000000003E-2</v>
      </c>
      <c r="M26" s="283">
        <f t="shared" si="2"/>
        <v>8.0000000000000004E-4</v>
      </c>
      <c r="N26" s="825"/>
      <c r="O26" s="283">
        <v>2.1899999999999999E-2</v>
      </c>
      <c r="P26" s="290">
        <v>5.7563000000000003E-2</v>
      </c>
      <c r="Q26" s="283">
        <f t="shared" si="3"/>
        <v>1.2999999999999999E-3</v>
      </c>
      <c r="R26" s="825"/>
      <c r="S26" s="283">
        <f t="shared" si="4"/>
        <v>1.66E-2</v>
      </c>
    </row>
    <row r="27" spans="1:19" ht="15">
      <c r="A27" s="826" t="s">
        <v>413</v>
      </c>
      <c r="B27" s="288">
        <v>357</v>
      </c>
      <c r="C27" s="283">
        <v>2.4899999999999999E-2</v>
      </c>
      <c r="D27" s="290">
        <v>0.49482100000000001</v>
      </c>
      <c r="E27" s="283">
        <f t="shared" si="0"/>
        <v>1.23E-2</v>
      </c>
      <c r="F27" s="825"/>
      <c r="G27" s="283">
        <v>3.7100000000000001E-2</v>
      </c>
      <c r="H27" s="290">
        <v>0.41108299999999998</v>
      </c>
      <c r="I27" s="283">
        <f t="shared" si="1"/>
        <v>1.5299999999999999E-2</v>
      </c>
      <c r="J27" s="825"/>
      <c r="K27" s="283">
        <v>2.1899999999999999E-2</v>
      </c>
      <c r="L27" s="290">
        <v>3.6533000000000003E-2</v>
      </c>
      <c r="M27" s="283">
        <f t="shared" si="2"/>
        <v>8.0000000000000004E-4</v>
      </c>
      <c r="N27" s="825"/>
      <c r="O27" s="283">
        <v>2.1899999999999999E-2</v>
      </c>
      <c r="P27" s="290">
        <v>5.7563000000000003E-2</v>
      </c>
      <c r="Q27" s="283">
        <f t="shared" si="3"/>
        <v>1.2999999999999999E-3</v>
      </c>
      <c r="R27" s="825"/>
      <c r="S27" s="283">
        <f t="shared" si="4"/>
        <v>2.9700000000000001E-2</v>
      </c>
    </row>
    <row r="28" spans="1:19" ht="15">
      <c r="A28" s="826" t="s">
        <v>414</v>
      </c>
      <c r="B28" s="288">
        <v>358</v>
      </c>
      <c r="C28" s="283">
        <v>4.7199999999999999E-2</v>
      </c>
      <c r="D28" s="290">
        <v>0.49482100000000001</v>
      </c>
      <c r="E28" s="283">
        <f t="shared" si="0"/>
        <v>2.3400000000000001E-2</v>
      </c>
      <c r="F28" s="825"/>
      <c r="G28" s="283">
        <v>5.2400000000000002E-2</v>
      </c>
      <c r="H28" s="290">
        <v>0.41108299999999998</v>
      </c>
      <c r="I28" s="283">
        <f t="shared" si="1"/>
        <v>2.1499999999999998E-2</v>
      </c>
      <c r="J28" s="825"/>
      <c r="K28" s="335">
        <v>2.1899999999999999E-2</v>
      </c>
      <c r="L28" s="290">
        <v>3.6533000000000003E-2</v>
      </c>
      <c r="M28" s="283">
        <f t="shared" si="2"/>
        <v>8.0000000000000004E-4</v>
      </c>
      <c r="N28" s="825"/>
      <c r="O28" s="335">
        <v>2.1899999999999999E-2</v>
      </c>
      <c r="P28" s="290">
        <v>5.7563000000000003E-2</v>
      </c>
      <c r="Q28" s="283">
        <f t="shared" si="3"/>
        <v>1.2999999999999999E-3</v>
      </c>
      <c r="R28" s="825"/>
      <c r="S28" s="283">
        <f t="shared" si="4"/>
        <v>4.7E-2</v>
      </c>
    </row>
    <row r="29" spans="1:19" ht="15.75" thickBot="1">
      <c r="A29" s="826"/>
      <c r="B29" s="825"/>
      <c r="C29" s="335"/>
      <c r="D29" s="336"/>
      <c r="E29" s="338"/>
      <c r="F29" s="825"/>
      <c r="G29" s="335"/>
      <c r="H29" s="336"/>
      <c r="I29" s="338"/>
      <c r="J29" s="825"/>
      <c r="K29" s="335"/>
      <c r="L29" s="336"/>
      <c r="M29" s="338"/>
      <c r="N29" s="825"/>
      <c r="O29" s="335"/>
      <c r="P29" s="336"/>
      <c r="Q29" s="283"/>
      <c r="R29" s="825"/>
      <c r="S29" s="283"/>
    </row>
    <row r="30" spans="1:19" ht="15">
      <c r="A30" s="1326" t="s">
        <v>1143</v>
      </c>
      <c r="B30" s="1327"/>
      <c r="C30" s="1328"/>
      <c r="D30" s="1329"/>
      <c r="E30" s="1330"/>
      <c r="F30" s="1327"/>
      <c r="G30" s="1328"/>
      <c r="H30" s="1329"/>
      <c r="I30" s="1330"/>
      <c r="J30" s="1327"/>
      <c r="K30" s="1327"/>
      <c r="L30" s="1329"/>
      <c r="M30" s="1330"/>
      <c r="N30" s="1327"/>
      <c r="O30" s="1327"/>
      <c r="P30" s="1329"/>
      <c r="Q30" s="1330"/>
      <c r="R30" s="1327"/>
      <c r="S30" s="1331"/>
    </row>
    <row r="31" spans="1:19" ht="15">
      <c r="A31" s="824" t="s">
        <v>818</v>
      </c>
      <c r="B31" s="288">
        <v>390</v>
      </c>
      <c r="C31" s="283">
        <v>1.89E-2</v>
      </c>
      <c r="D31" s="336">
        <v>0.523756</v>
      </c>
      <c r="E31" s="283">
        <f t="shared" ref="E31:E39" si="5">ROUND((C31*D31),4)</f>
        <v>9.9000000000000008E-3</v>
      </c>
      <c r="F31" s="825"/>
      <c r="G31" s="283">
        <v>1.9099999999999999E-2</v>
      </c>
      <c r="H31" s="337">
        <v>0.42594100000000001</v>
      </c>
      <c r="I31" s="283">
        <f t="shared" ref="I31:I39" si="6">ROUND((G31*H31),4)</f>
        <v>8.0999999999999996E-3</v>
      </c>
      <c r="J31" s="825"/>
      <c r="K31" s="283">
        <v>3.4300000000000004E-2</v>
      </c>
      <c r="L31" s="337">
        <v>1.9295E-2</v>
      </c>
      <c r="M31" s="283">
        <f t="shared" ref="M31:M39" si="7">ROUND((K31*L31),4)</f>
        <v>6.9999999999999999E-4</v>
      </c>
      <c r="N31" s="825"/>
      <c r="O31" s="283">
        <v>3.4300000000000004E-2</v>
      </c>
      <c r="P31" s="336">
        <v>3.1008999999999998E-2</v>
      </c>
      <c r="Q31" s="283">
        <f t="shared" ref="Q31:Q39" si="8">ROUND((O31*P31),4)</f>
        <v>1.1000000000000001E-3</v>
      </c>
      <c r="R31" s="825"/>
      <c r="S31" s="283">
        <f t="shared" ref="S31:S39" si="9">ROUND((((E31+I31)+M31)+Q31),4)</f>
        <v>1.9800000000000002E-2</v>
      </c>
    </row>
    <row r="32" spans="1:19" ht="15">
      <c r="A32" s="824" t="s">
        <v>819</v>
      </c>
      <c r="B32" s="288">
        <v>391</v>
      </c>
      <c r="C32" s="283">
        <v>3.2099999999999997E-2</v>
      </c>
      <c r="D32" s="336">
        <v>0.523756</v>
      </c>
      <c r="E32" s="283">
        <f t="shared" si="5"/>
        <v>1.6799999999999999E-2</v>
      </c>
      <c r="F32" s="825"/>
      <c r="G32" s="283">
        <v>3.1699999999999999E-2</v>
      </c>
      <c r="H32" s="337">
        <v>0.42594100000000001</v>
      </c>
      <c r="I32" s="283">
        <f t="shared" si="6"/>
        <v>1.35E-2</v>
      </c>
      <c r="J32" s="825"/>
      <c r="K32" s="283">
        <v>3.4300000000000004E-2</v>
      </c>
      <c r="L32" s="337">
        <v>1.9295E-2</v>
      </c>
      <c r="M32" s="283">
        <f t="shared" si="7"/>
        <v>6.9999999999999999E-4</v>
      </c>
      <c r="N32" s="825"/>
      <c r="O32" s="283">
        <v>3.4300000000000004E-2</v>
      </c>
      <c r="P32" s="336">
        <v>3.1008999999999998E-2</v>
      </c>
      <c r="Q32" s="283">
        <f t="shared" si="8"/>
        <v>1.1000000000000001E-3</v>
      </c>
      <c r="R32" s="825"/>
      <c r="S32" s="283">
        <f t="shared" si="9"/>
        <v>3.2099999999999997E-2</v>
      </c>
    </row>
    <row r="33" spans="1:19" ht="15">
      <c r="A33" s="824" t="s">
        <v>1144</v>
      </c>
      <c r="B33" s="288">
        <v>392</v>
      </c>
      <c r="C33" s="283">
        <v>3.4599999999999999E-2</v>
      </c>
      <c r="D33" s="290">
        <v>0.523756</v>
      </c>
      <c r="E33" s="283">
        <f t="shared" si="5"/>
        <v>1.8100000000000002E-2</v>
      </c>
      <c r="F33" s="825"/>
      <c r="G33" s="283">
        <v>3.4000000000000002E-2</v>
      </c>
      <c r="H33" s="290">
        <v>0.42594100000000001</v>
      </c>
      <c r="I33" s="283">
        <f t="shared" si="6"/>
        <v>1.4500000000000001E-2</v>
      </c>
      <c r="J33" s="825"/>
      <c r="K33" s="283">
        <v>3.4300000000000004E-2</v>
      </c>
      <c r="L33" s="290">
        <v>1.9295E-2</v>
      </c>
      <c r="M33" s="283">
        <f t="shared" si="7"/>
        <v>6.9999999999999999E-4</v>
      </c>
      <c r="N33" s="825"/>
      <c r="O33" s="283">
        <v>3.4300000000000004E-2</v>
      </c>
      <c r="P33" s="290">
        <v>3.1008999999999998E-2</v>
      </c>
      <c r="Q33" s="283">
        <f t="shared" si="8"/>
        <v>1.1000000000000001E-3</v>
      </c>
      <c r="R33" s="825"/>
      <c r="S33" s="283">
        <f t="shared" si="9"/>
        <v>3.44E-2</v>
      </c>
    </row>
    <row r="34" spans="1:19" ht="15">
      <c r="A34" s="824" t="s">
        <v>820</v>
      </c>
      <c r="B34" s="288">
        <v>393</v>
      </c>
      <c r="C34" s="283">
        <v>1.78E-2</v>
      </c>
      <c r="D34" s="290">
        <v>0.523756</v>
      </c>
      <c r="E34" s="283">
        <f t="shared" si="5"/>
        <v>9.2999999999999992E-3</v>
      </c>
      <c r="F34" s="825"/>
      <c r="G34" s="283">
        <v>1.7999999999999999E-2</v>
      </c>
      <c r="H34" s="290">
        <v>0.42594100000000001</v>
      </c>
      <c r="I34" s="283">
        <f t="shared" si="6"/>
        <v>7.7000000000000002E-3</v>
      </c>
      <c r="J34" s="825"/>
      <c r="K34" s="283">
        <v>3.4300000000000004E-2</v>
      </c>
      <c r="L34" s="290">
        <v>1.9295E-2</v>
      </c>
      <c r="M34" s="283">
        <f t="shared" si="7"/>
        <v>6.9999999999999999E-4</v>
      </c>
      <c r="N34" s="825"/>
      <c r="O34" s="283">
        <v>3.4300000000000004E-2</v>
      </c>
      <c r="P34" s="290">
        <v>3.1008999999999998E-2</v>
      </c>
      <c r="Q34" s="283">
        <f t="shared" si="8"/>
        <v>1.1000000000000001E-3</v>
      </c>
      <c r="R34" s="825"/>
      <c r="S34" s="283">
        <f t="shared" si="9"/>
        <v>1.8800000000000001E-2</v>
      </c>
    </row>
    <row r="35" spans="1:19" ht="15.75" customHeight="1">
      <c r="A35" s="824" t="s">
        <v>821</v>
      </c>
      <c r="B35" s="288">
        <v>394</v>
      </c>
      <c r="C35" s="283">
        <v>2.5899999999999999E-2</v>
      </c>
      <c r="D35" s="290">
        <v>0.523756</v>
      </c>
      <c r="E35" s="283">
        <f t="shared" si="5"/>
        <v>1.3599999999999999E-2</v>
      </c>
      <c r="F35" s="825"/>
      <c r="G35" s="283">
        <v>2.5700000000000001E-2</v>
      </c>
      <c r="H35" s="290">
        <v>0.42594100000000001</v>
      </c>
      <c r="I35" s="283">
        <f t="shared" si="6"/>
        <v>1.09E-2</v>
      </c>
      <c r="J35" s="825"/>
      <c r="K35" s="283">
        <v>3.4300000000000004E-2</v>
      </c>
      <c r="L35" s="290">
        <v>1.9295E-2</v>
      </c>
      <c r="M35" s="283">
        <f t="shared" si="7"/>
        <v>6.9999999999999999E-4</v>
      </c>
      <c r="N35" s="825"/>
      <c r="O35" s="283">
        <v>3.4300000000000004E-2</v>
      </c>
      <c r="P35" s="290">
        <v>3.1008999999999998E-2</v>
      </c>
      <c r="Q35" s="283">
        <f t="shared" si="8"/>
        <v>1.1000000000000001E-3</v>
      </c>
      <c r="R35" s="825"/>
      <c r="S35" s="283">
        <f t="shared" si="9"/>
        <v>2.63E-2</v>
      </c>
    </row>
    <row r="36" spans="1:19" ht="15.75" customHeight="1">
      <c r="A36" s="824" t="s">
        <v>822</v>
      </c>
      <c r="B36" s="288">
        <v>395</v>
      </c>
      <c r="C36" s="283">
        <v>3.8699999999999998E-2</v>
      </c>
      <c r="D36" s="290">
        <v>0.523756</v>
      </c>
      <c r="E36" s="283">
        <f t="shared" si="5"/>
        <v>2.0299999999999999E-2</v>
      </c>
      <c r="F36" s="825"/>
      <c r="G36" s="283">
        <v>4.0099999999999997E-2</v>
      </c>
      <c r="H36" s="290">
        <v>0.42594100000000001</v>
      </c>
      <c r="I36" s="283">
        <f t="shared" si="6"/>
        <v>1.7100000000000001E-2</v>
      </c>
      <c r="J36" s="825"/>
      <c r="K36" s="283">
        <v>3.4300000000000004E-2</v>
      </c>
      <c r="L36" s="290">
        <v>1.9295E-2</v>
      </c>
      <c r="M36" s="283">
        <f t="shared" si="7"/>
        <v>6.9999999999999999E-4</v>
      </c>
      <c r="N36" s="825"/>
      <c r="O36" s="283">
        <v>3.4300000000000004E-2</v>
      </c>
      <c r="P36" s="290">
        <v>3.1008999999999998E-2</v>
      </c>
      <c r="Q36" s="283">
        <f t="shared" si="8"/>
        <v>1.1000000000000001E-3</v>
      </c>
      <c r="R36" s="825"/>
      <c r="S36" s="283">
        <f t="shared" si="9"/>
        <v>3.9199999999999999E-2</v>
      </c>
    </row>
    <row r="37" spans="1:19" ht="15.75" customHeight="1">
      <c r="A37" s="824" t="s">
        <v>1145</v>
      </c>
      <c r="B37" s="288">
        <v>396</v>
      </c>
      <c r="C37" s="283">
        <v>0</v>
      </c>
      <c r="D37" s="290">
        <v>0.523756</v>
      </c>
      <c r="E37" s="283">
        <f t="shared" si="5"/>
        <v>0</v>
      </c>
      <c r="F37" s="825"/>
      <c r="G37" s="283">
        <v>3.9E-2</v>
      </c>
      <c r="H37" s="290">
        <v>0.42594100000000001</v>
      </c>
      <c r="I37" s="283">
        <f t="shared" si="6"/>
        <v>1.66E-2</v>
      </c>
      <c r="J37" s="825"/>
      <c r="K37" s="283">
        <v>3.4300000000000004E-2</v>
      </c>
      <c r="L37" s="290">
        <v>1.9295E-2</v>
      </c>
      <c r="M37" s="283">
        <f t="shared" si="7"/>
        <v>6.9999999999999999E-4</v>
      </c>
      <c r="N37" s="825"/>
      <c r="O37" s="283">
        <v>3.4300000000000004E-2</v>
      </c>
      <c r="P37" s="290">
        <v>3.1008999999999998E-2</v>
      </c>
      <c r="Q37" s="283">
        <f t="shared" si="8"/>
        <v>1.1000000000000001E-3</v>
      </c>
      <c r="R37" s="825"/>
      <c r="S37" s="283">
        <f t="shared" si="9"/>
        <v>1.84E-2</v>
      </c>
    </row>
    <row r="38" spans="1:19" ht="15">
      <c r="A38" s="824" t="s">
        <v>823</v>
      </c>
      <c r="B38" s="288">
        <v>397</v>
      </c>
      <c r="C38" s="283">
        <v>5.0500000000000003E-2</v>
      </c>
      <c r="D38" s="290">
        <v>0.523756</v>
      </c>
      <c r="E38" s="283">
        <f t="shared" si="5"/>
        <v>2.64E-2</v>
      </c>
      <c r="F38" s="825"/>
      <c r="G38" s="283">
        <v>4.9799999999999997E-2</v>
      </c>
      <c r="H38" s="290">
        <v>0.42594100000000001</v>
      </c>
      <c r="I38" s="283">
        <f t="shared" si="6"/>
        <v>2.12E-2</v>
      </c>
      <c r="J38" s="825"/>
      <c r="K38" s="283">
        <v>3.4300000000000004E-2</v>
      </c>
      <c r="L38" s="290">
        <v>1.9295E-2</v>
      </c>
      <c r="M38" s="283">
        <f t="shared" si="7"/>
        <v>6.9999999999999999E-4</v>
      </c>
      <c r="N38" s="825"/>
      <c r="O38" s="283">
        <v>3.4300000000000004E-2</v>
      </c>
      <c r="P38" s="290">
        <v>3.1008999999999998E-2</v>
      </c>
      <c r="Q38" s="283">
        <f t="shared" si="8"/>
        <v>1.1000000000000001E-3</v>
      </c>
      <c r="R38" s="825"/>
      <c r="S38" s="283">
        <f t="shared" si="9"/>
        <v>4.9399999999999999E-2</v>
      </c>
    </row>
    <row r="39" spans="1:19" ht="15">
      <c r="A39" s="824" t="s">
        <v>824</v>
      </c>
      <c r="B39" s="288">
        <v>398</v>
      </c>
      <c r="C39" s="283">
        <v>2.6700000000000002E-2</v>
      </c>
      <c r="D39" s="290">
        <v>0.523756</v>
      </c>
      <c r="E39" s="283">
        <f t="shared" si="5"/>
        <v>1.4E-2</v>
      </c>
      <c r="F39" s="825"/>
      <c r="G39" s="283">
        <v>2.7E-2</v>
      </c>
      <c r="H39" s="290">
        <v>0.42594100000000001</v>
      </c>
      <c r="I39" s="283">
        <f t="shared" si="6"/>
        <v>1.15E-2</v>
      </c>
      <c r="J39" s="825"/>
      <c r="K39" s="335">
        <v>3.4300000000000004E-2</v>
      </c>
      <c r="L39" s="290">
        <v>1.9295E-2</v>
      </c>
      <c r="M39" s="283">
        <f t="shared" si="7"/>
        <v>6.9999999999999999E-4</v>
      </c>
      <c r="N39" s="825"/>
      <c r="O39" s="335">
        <v>3.4300000000000004E-2</v>
      </c>
      <c r="P39" s="290">
        <v>3.1008999999999998E-2</v>
      </c>
      <c r="Q39" s="283">
        <f t="shared" si="8"/>
        <v>1.1000000000000001E-3</v>
      </c>
      <c r="R39" s="825"/>
      <c r="S39" s="283">
        <f t="shared" si="9"/>
        <v>2.7300000000000001E-2</v>
      </c>
    </row>
    <row r="40" spans="1:19" ht="15.75" thickBot="1">
      <c r="A40" s="1332"/>
      <c r="B40" s="1333"/>
      <c r="C40" s="1334"/>
      <c r="D40" s="1335"/>
      <c r="E40" s="1336"/>
      <c r="F40" s="1333"/>
      <c r="G40" s="1336"/>
      <c r="H40" s="1335"/>
      <c r="I40" s="1336"/>
      <c r="J40" s="1333"/>
      <c r="K40" s="1334"/>
      <c r="L40" s="1335"/>
      <c r="M40" s="1336"/>
      <c r="N40" s="1333"/>
      <c r="O40" s="1334"/>
      <c r="P40" s="1335"/>
      <c r="Q40" s="1336"/>
      <c r="R40" s="1333"/>
      <c r="S40" s="1336"/>
    </row>
    <row r="41" spans="1:19" ht="15">
      <c r="A41" s="812"/>
      <c r="B41" s="814"/>
      <c r="C41" s="283"/>
      <c r="D41" s="812"/>
      <c r="E41" s="812"/>
      <c r="F41" s="812"/>
      <c r="G41" s="289"/>
      <c r="H41" s="812"/>
      <c r="I41" s="812"/>
      <c r="J41" s="812"/>
      <c r="K41" s="812"/>
      <c r="L41" s="812"/>
      <c r="M41" s="812"/>
      <c r="N41" s="812"/>
      <c r="O41" s="812"/>
      <c r="P41" s="812"/>
      <c r="Q41" s="812"/>
      <c r="R41" s="812"/>
      <c r="S41" s="812"/>
    </row>
    <row r="42" spans="1:19" ht="15" customHeight="1">
      <c r="A42" s="812" t="s">
        <v>1299</v>
      </c>
      <c r="B42" s="827"/>
      <c r="C42" s="291"/>
      <c r="D42" s="827"/>
      <c r="E42" s="812"/>
      <c r="F42" s="828" t="s">
        <v>125</v>
      </c>
      <c r="G42" s="289" t="s">
        <v>1300</v>
      </c>
      <c r="H42" s="814"/>
      <c r="I42" s="812"/>
      <c r="J42" s="812"/>
      <c r="K42" s="812"/>
      <c r="L42" s="828"/>
      <c r="M42" s="812"/>
      <c r="N42" s="812"/>
      <c r="O42" s="812"/>
      <c r="P42" s="812"/>
      <c r="Q42" s="812"/>
      <c r="R42" s="812"/>
      <c r="S42" s="812"/>
    </row>
    <row r="43" spans="1:19" ht="15.75">
      <c r="A43" s="812" t="s">
        <v>1301</v>
      </c>
      <c r="B43" s="827"/>
      <c r="C43" s="291"/>
      <c r="D43" s="827"/>
      <c r="E43" s="827"/>
      <c r="F43" s="829"/>
      <c r="G43" s="289"/>
      <c r="H43" s="814"/>
      <c r="I43" s="812"/>
      <c r="J43" s="812"/>
      <c r="K43" s="812"/>
      <c r="L43" s="812"/>
      <c r="M43" s="812"/>
      <c r="N43" s="812"/>
      <c r="O43" s="812"/>
      <c r="P43" s="812"/>
      <c r="Q43" s="812"/>
      <c r="R43" s="812"/>
      <c r="S43" s="812"/>
    </row>
    <row r="44" spans="1:19" ht="15" customHeight="1">
      <c r="A44" s="812"/>
      <c r="B44" s="827"/>
      <c r="C44" s="291"/>
      <c r="D44" s="830"/>
      <c r="E44" s="830"/>
      <c r="F44" s="828" t="s">
        <v>615</v>
      </c>
      <c r="G44" s="289" t="s">
        <v>1302</v>
      </c>
      <c r="H44" s="812"/>
      <c r="I44" s="812"/>
      <c r="J44" s="812"/>
      <c r="K44" s="812"/>
      <c r="L44" s="812"/>
      <c r="M44" s="812"/>
      <c r="N44" s="812"/>
      <c r="O44" s="812"/>
      <c r="P44" s="812"/>
      <c r="Q44" s="812"/>
      <c r="R44" s="812"/>
      <c r="S44" s="812"/>
    </row>
    <row r="45" spans="1:19" ht="15.75">
      <c r="A45" s="812" t="s">
        <v>1303</v>
      </c>
      <c r="B45" s="827"/>
      <c r="C45" s="291"/>
      <c r="D45" s="827"/>
      <c r="E45" s="827"/>
      <c r="F45" s="829"/>
      <c r="G45" s="289"/>
      <c r="H45" s="814"/>
      <c r="I45" s="812"/>
      <c r="J45" s="812"/>
      <c r="K45" s="812"/>
      <c r="L45" s="812"/>
      <c r="M45" s="812"/>
      <c r="N45" s="812"/>
      <c r="O45" s="812"/>
      <c r="P45" s="812"/>
      <c r="Q45" s="812"/>
      <c r="R45" s="812"/>
      <c r="S45" s="812"/>
    </row>
    <row r="46" spans="1:19" ht="15.75" customHeight="1">
      <c r="A46" s="812" t="s">
        <v>1304</v>
      </c>
      <c r="B46" s="827"/>
      <c r="C46" s="291"/>
      <c r="D46" s="827"/>
      <c r="E46" s="827"/>
      <c r="F46" s="828" t="s">
        <v>616</v>
      </c>
      <c r="G46" s="1584" t="s">
        <v>617</v>
      </c>
      <c r="H46" s="1584"/>
      <c r="I46" s="1584"/>
      <c r="J46" s="1584"/>
      <c r="K46" s="1584"/>
      <c r="L46" s="1584"/>
      <c r="M46" s="812"/>
      <c r="N46" s="812"/>
      <c r="O46" s="812"/>
      <c r="P46" s="812"/>
      <c r="Q46" s="812"/>
      <c r="R46" s="812"/>
      <c r="S46" s="812"/>
    </row>
    <row r="47" spans="1:19" ht="15.75" customHeight="1">
      <c r="A47" s="812"/>
      <c r="B47" s="827"/>
      <c r="C47" s="291"/>
      <c r="D47" s="827"/>
      <c r="E47" s="827"/>
      <c r="F47" s="828"/>
      <c r="G47" s="1584" t="s">
        <v>618</v>
      </c>
      <c r="H47" s="1584"/>
      <c r="I47" s="1584"/>
      <c r="J47" s="1584"/>
      <c r="K47" s="1584"/>
      <c r="L47" s="1584"/>
      <c r="M47" s="812"/>
      <c r="N47" s="812"/>
      <c r="O47" s="812"/>
      <c r="P47" s="812"/>
      <c r="Q47" s="812"/>
      <c r="R47" s="812"/>
      <c r="S47" s="812"/>
    </row>
    <row r="48" spans="1:19" ht="15.75" customHeight="1">
      <c r="A48" s="812"/>
      <c r="B48" s="827"/>
      <c r="C48" s="291"/>
      <c r="D48" s="827"/>
      <c r="E48" s="827"/>
      <c r="F48" s="828"/>
      <c r="G48" s="1584" t="s">
        <v>619</v>
      </c>
      <c r="H48" s="1584"/>
      <c r="I48" s="1584"/>
      <c r="J48" s="1584"/>
      <c r="K48" s="1584"/>
      <c r="L48" s="1584"/>
      <c r="M48" s="812"/>
      <c r="N48" s="812"/>
      <c r="O48" s="812"/>
      <c r="P48" s="812"/>
      <c r="Q48" s="812"/>
      <c r="R48" s="812"/>
      <c r="S48" s="812"/>
    </row>
    <row r="49" spans="1:19" ht="15.75">
      <c r="A49" s="831"/>
      <c r="B49" s="814"/>
      <c r="C49" s="283"/>
      <c r="D49" s="812"/>
      <c r="E49" s="812"/>
      <c r="F49" s="812"/>
      <c r="G49" s="1584" t="s">
        <v>116</v>
      </c>
      <c r="H49" s="1584"/>
      <c r="I49" s="1584"/>
      <c r="J49" s="1584"/>
      <c r="K49" s="1584"/>
      <c r="L49" s="1584"/>
      <c r="M49" s="812"/>
      <c r="N49" s="812"/>
      <c r="O49" s="812"/>
      <c r="P49" s="812"/>
      <c r="Q49" s="812"/>
      <c r="R49" s="812"/>
      <c r="S49" s="812"/>
    </row>
    <row r="50" spans="1:19" ht="15.75">
      <c r="A50" s="831"/>
      <c r="B50" s="814"/>
      <c r="C50" s="283"/>
      <c r="D50" s="812"/>
      <c r="E50" s="812"/>
      <c r="F50" s="828" t="s">
        <v>620</v>
      </c>
      <c r="G50" s="1584" t="s">
        <v>1305</v>
      </c>
      <c r="H50" s="1584"/>
      <c r="I50" s="1584"/>
      <c r="J50" s="1584"/>
      <c r="K50" s="1584"/>
      <c r="L50" s="1584"/>
      <c r="M50" s="812"/>
      <c r="N50" s="812"/>
      <c r="O50" s="812"/>
      <c r="P50" s="812"/>
      <c r="Q50" s="812"/>
      <c r="R50" s="812"/>
      <c r="S50" s="812"/>
    </row>
    <row r="51" spans="1:19" ht="15.75">
      <c r="A51" s="831" t="s">
        <v>415</v>
      </c>
      <c r="B51" s="814"/>
      <c r="C51" s="283"/>
      <c r="D51" s="812"/>
      <c r="E51" s="812"/>
      <c r="F51" s="812"/>
      <c r="G51" s="812" t="s">
        <v>1306</v>
      </c>
      <c r="H51" s="812"/>
      <c r="I51" s="812"/>
      <c r="J51" s="812"/>
      <c r="K51" s="812"/>
      <c r="L51" s="812"/>
      <c r="M51" s="812"/>
      <c r="N51" s="812"/>
      <c r="O51" s="832"/>
      <c r="P51" s="812"/>
      <c r="Q51" s="812"/>
      <c r="R51" s="812"/>
      <c r="S51" s="812"/>
    </row>
    <row r="52" spans="1:19" ht="15">
      <c r="A52" s="833" t="s">
        <v>29</v>
      </c>
      <c r="B52" s="834"/>
      <c r="C52" s="834"/>
      <c r="D52" s="835"/>
      <c r="E52" s="812"/>
      <c r="F52" s="812"/>
      <c r="G52" s="289"/>
      <c r="H52" s="812"/>
      <c r="I52" s="812"/>
      <c r="J52" s="812"/>
      <c r="K52" s="812"/>
      <c r="L52" s="812"/>
      <c r="M52" s="812"/>
      <c r="N52" s="812"/>
      <c r="O52" s="832"/>
      <c r="P52" s="812"/>
      <c r="Q52" s="812"/>
      <c r="R52" s="812"/>
      <c r="S52" s="812"/>
    </row>
    <row r="53" spans="1:19" ht="15">
      <c r="A53" s="1585" t="s">
        <v>621</v>
      </c>
      <c r="B53" s="1586"/>
      <c r="C53" s="1586"/>
      <c r="D53" s="1586"/>
      <c r="E53" s="1586"/>
      <c r="F53" s="1586"/>
      <c r="G53" s="1586"/>
      <c r="H53" s="1586"/>
      <c r="I53" s="1586"/>
      <c r="J53" s="1586"/>
      <c r="K53" s="1586"/>
      <c r="L53" s="1586"/>
      <c r="M53" s="1586"/>
      <c r="N53" s="1586"/>
      <c r="O53" s="812"/>
      <c r="P53" s="812"/>
      <c r="Q53" s="812"/>
      <c r="R53" s="812"/>
      <c r="S53" s="812"/>
    </row>
    <row r="54" spans="1:19" ht="15">
      <c r="A54" s="1586"/>
      <c r="B54" s="1586"/>
      <c r="C54" s="1586"/>
      <c r="D54" s="1586"/>
      <c r="E54" s="1586"/>
      <c r="F54" s="1586"/>
      <c r="G54" s="1586"/>
      <c r="H54" s="1586"/>
      <c r="I54" s="1586"/>
      <c r="J54" s="1586"/>
      <c r="K54" s="1586"/>
      <c r="L54" s="1586"/>
      <c r="M54" s="1586"/>
      <c r="N54" s="1586"/>
      <c r="O54" s="812"/>
      <c r="P54" s="812"/>
      <c r="Q54" s="812"/>
      <c r="R54" s="812"/>
      <c r="S54" s="812"/>
    </row>
    <row r="55" spans="1:19" ht="15">
      <c r="A55" s="1475" t="s">
        <v>833</v>
      </c>
      <c r="B55" s="1475"/>
      <c r="C55" s="1475"/>
      <c r="D55" s="1475"/>
      <c r="E55" s="1475"/>
      <c r="F55" s="1475"/>
      <c r="G55" s="1475"/>
      <c r="H55" s="1475"/>
      <c r="I55" s="1475"/>
      <c r="J55" s="1475"/>
      <c r="K55" s="1475"/>
      <c r="L55" s="1475"/>
      <c r="M55" s="1475"/>
      <c r="N55" s="1475"/>
      <c r="O55" s="812"/>
      <c r="P55" s="812"/>
      <c r="Q55" s="812"/>
      <c r="R55" s="812"/>
      <c r="S55" s="812"/>
    </row>
    <row r="56" spans="1:19" ht="15">
      <c r="A56" s="1475"/>
      <c r="B56" s="1475"/>
      <c r="C56" s="1475"/>
      <c r="D56" s="1475"/>
      <c r="E56" s="1475"/>
      <c r="F56" s="1475"/>
      <c r="G56" s="1475"/>
      <c r="H56" s="1475"/>
      <c r="I56" s="1475"/>
      <c r="J56" s="1475"/>
      <c r="K56" s="1475"/>
      <c r="L56" s="1475"/>
      <c r="M56" s="1475"/>
      <c r="N56" s="1475"/>
      <c r="O56" s="812"/>
      <c r="P56" s="812"/>
      <c r="Q56" s="812"/>
      <c r="R56" s="812"/>
      <c r="S56" s="812"/>
    </row>
  </sheetData>
  <mergeCells count="19">
    <mergeCell ref="A55:N56"/>
    <mergeCell ref="G46:L46"/>
    <mergeCell ref="G47:L47"/>
    <mergeCell ref="G48:L48"/>
    <mergeCell ref="G49:L49"/>
    <mergeCell ref="A53:N54"/>
    <mergeCell ref="G50:L50"/>
    <mergeCell ref="A8:O8"/>
    <mergeCell ref="A9:O9"/>
    <mergeCell ref="A10:O10"/>
    <mergeCell ref="C12:E12"/>
    <mergeCell ref="G12:I12"/>
    <mergeCell ref="K12:M12"/>
    <mergeCell ref="O12:Q12"/>
    <mergeCell ref="A3:O3"/>
    <mergeCell ref="A6:O6"/>
    <mergeCell ref="A7:O7"/>
    <mergeCell ref="A4:O4"/>
    <mergeCell ref="A5:O5"/>
  </mergeCells>
  <phoneticPr fontId="5" type="noConversion"/>
  <conditionalFormatting sqref="P10:S10 A3 A4:S9 A10 O52:S56 A12:S18">
    <cfRule type="cellIs" dxfId="24" priority="38" stopIfTrue="1" operator="lessThan">
      <formula>0</formula>
    </cfRule>
  </conditionalFormatting>
  <conditionalFormatting sqref="A52:N52">
    <cfRule type="cellIs" dxfId="23" priority="37" stopIfTrue="1" operator="lessThan">
      <formula>0</formula>
    </cfRule>
  </conditionalFormatting>
  <conditionalFormatting sqref="A53">
    <cfRule type="cellIs" dxfId="22" priority="36" stopIfTrue="1" operator="lessThan">
      <formula>0</formula>
    </cfRule>
  </conditionalFormatting>
  <conditionalFormatting sqref="O40:S51 A40:N45 A31:B39 A19:S20 A29:S30 A21:R28">
    <cfRule type="cellIs" dxfId="21" priority="20" stopIfTrue="1" operator="lessThan">
      <formula>0</formula>
    </cfRule>
  </conditionalFormatting>
  <conditionalFormatting sqref="A51:E51 L51:N51 F50">
    <cfRule type="cellIs" dxfId="20" priority="19" stopIfTrue="1" operator="lessThan">
      <formula>0</formula>
    </cfRule>
  </conditionalFormatting>
  <conditionalFormatting sqref="A46:G46 A47:F49 M46:N50 A50:E50">
    <cfRule type="cellIs" dxfId="19"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8"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7"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6"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5" priority="10" stopIfTrue="1" operator="lessThan">
      <formula>0</formula>
    </cfRule>
  </conditionalFormatting>
  <conditionalFormatting sqref="E31:E39">
    <cfRule type="cellIs" dxfId="14" priority="9" stopIfTrue="1" operator="lessThan">
      <formula>0</formula>
    </cfRule>
  </conditionalFormatting>
  <conditionalFormatting sqref="I31:I39">
    <cfRule type="cellIs" dxfId="13" priority="8" stopIfTrue="1" operator="lessThan">
      <formula>0</formula>
    </cfRule>
  </conditionalFormatting>
  <conditionalFormatting sqref="M31:M39">
    <cfRule type="cellIs" dxfId="12" priority="7" stopIfTrue="1" operator="lessThan">
      <formula>0</formula>
    </cfRule>
  </conditionalFormatting>
  <conditionalFormatting sqref="Q31:Q39">
    <cfRule type="cellIs" dxfId="11" priority="6" stopIfTrue="1" operator="lessThan">
      <formula>0</formula>
    </cfRule>
  </conditionalFormatting>
  <conditionalFormatting sqref="S21">
    <cfRule type="cellIs" dxfId="10" priority="5" stopIfTrue="1" operator="lessThan">
      <formula>0</formula>
    </cfRule>
  </conditionalFormatting>
  <conditionalFormatting sqref="S22:S28">
    <cfRule type="cellIs" dxfId="9" priority="4" stopIfTrue="1" operator="lessThan">
      <formula>0</formula>
    </cfRule>
  </conditionalFormatting>
  <conditionalFormatting sqref="S31:S39">
    <cfRule type="cellIs" dxfId="8" priority="3" stopIfTrue="1" operator="lessThan">
      <formula>0</formula>
    </cfRule>
  </conditionalFormatting>
  <conditionalFormatting sqref="G50">
    <cfRule type="cellIs" dxfId="7"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D263" sqref="D263"/>
    </sheetView>
  </sheetViews>
  <sheetFormatPr defaultColWidth="9.140625" defaultRowHeight="12.75"/>
  <cols>
    <col min="1" max="1" width="34.28515625" style="1429" customWidth="1"/>
    <col min="2" max="2" width="9.140625" style="1429"/>
    <col min="3" max="3" width="11.85546875" style="1429" customWidth="1"/>
    <col min="4" max="4" width="18.28515625" style="1429" customWidth="1"/>
    <col min="5" max="5" width="12.5703125" style="1429" customWidth="1"/>
    <col min="6" max="6" width="9.140625" style="1429"/>
    <col min="7" max="7" width="12.140625" style="1429" customWidth="1"/>
    <col min="8" max="8" width="18.85546875" style="1429" customWidth="1"/>
    <col min="9" max="9" width="15.5703125" style="1429" bestFit="1" customWidth="1"/>
    <col min="10" max="16384" width="9.140625" style="1429"/>
  </cols>
  <sheetData>
    <row r="1" spans="1:11" s="812" customFormat="1" ht="15.75">
      <c r="A1" s="943" t="s">
        <v>116</v>
      </c>
      <c r="G1" s="289"/>
    </row>
    <row r="2" spans="1:11" s="812" customFormat="1" ht="15.75">
      <c r="A2" s="943" t="s">
        <v>116</v>
      </c>
      <c r="G2" s="289"/>
    </row>
    <row r="3" spans="1:11" ht="19.5">
      <c r="A3" s="1588" t="s">
        <v>393</v>
      </c>
      <c r="B3" s="1588"/>
      <c r="C3" s="1588"/>
      <c r="D3" s="1588"/>
      <c r="E3" s="1588"/>
      <c r="F3" s="1588"/>
      <c r="G3" s="1588"/>
      <c r="H3" s="1588"/>
      <c r="I3" s="1588"/>
      <c r="J3" s="1588"/>
      <c r="K3" s="1588"/>
    </row>
    <row r="4" spans="1:11" ht="19.5">
      <c r="A4" s="1588" t="s">
        <v>394</v>
      </c>
      <c r="B4" s="1588"/>
      <c r="C4" s="1588"/>
      <c r="D4" s="1588"/>
      <c r="E4" s="1588"/>
      <c r="F4" s="1588"/>
      <c r="G4" s="1588"/>
      <c r="H4" s="1588"/>
      <c r="I4" s="1588"/>
      <c r="J4" s="1588"/>
      <c r="K4" s="1588"/>
    </row>
    <row r="5" spans="1:11" ht="19.5">
      <c r="A5" s="1588" t="s">
        <v>395</v>
      </c>
      <c r="B5" s="1588"/>
      <c r="C5" s="1588"/>
      <c r="D5" s="1588"/>
      <c r="E5" s="1588"/>
      <c r="F5" s="1588"/>
      <c r="G5" s="1588"/>
      <c r="H5" s="1588"/>
      <c r="I5" s="1588"/>
      <c r="J5" s="1588"/>
      <c r="K5" s="1588"/>
    </row>
    <row r="6" spans="1:11" ht="19.5">
      <c r="A6" s="1588" t="s">
        <v>396</v>
      </c>
      <c r="B6" s="1588"/>
      <c r="C6" s="1588"/>
      <c r="D6" s="1588"/>
      <c r="E6" s="1588"/>
      <c r="F6" s="1588"/>
      <c r="G6" s="1588"/>
      <c r="H6" s="1588"/>
      <c r="I6" s="1588"/>
      <c r="J6" s="1588"/>
      <c r="K6" s="1588"/>
    </row>
    <row r="7" spans="1:11" ht="19.5">
      <c r="A7" s="1588" t="s">
        <v>1315</v>
      </c>
      <c r="B7" s="1588"/>
      <c r="C7" s="1588"/>
      <c r="D7" s="1588"/>
      <c r="E7" s="1588"/>
      <c r="F7" s="1588"/>
      <c r="G7" s="1588"/>
      <c r="H7" s="1588"/>
      <c r="I7" s="1588"/>
      <c r="J7" s="1588"/>
      <c r="K7" s="1588"/>
    </row>
    <row r="8" spans="1:11" ht="19.5">
      <c r="A8" s="1588" t="s">
        <v>397</v>
      </c>
      <c r="B8" s="1588"/>
      <c r="C8" s="1588"/>
      <c r="D8" s="1588"/>
      <c r="E8" s="1588"/>
      <c r="F8" s="1588"/>
      <c r="G8" s="1588"/>
      <c r="H8" s="1588"/>
      <c r="I8" s="1588"/>
      <c r="J8" s="1588"/>
      <c r="K8" s="1588"/>
    </row>
    <row r="9" spans="1:11" ht="19.5">
      <c r="A9" s="1588" t="s">
        <v>776</v>
      </c>
      <c r="B9" s="1588"/>
      <c r="C9" s="1588"/>
      <c r="D9" s="1588"/>
      <c r="E9" s="1588"/>
      <c r="F9" s="1588"/>
      <c r="G9" s="1588"/>
      <c r="H9" s="1588"/>
      <c r="I9" s="1588"/>
      <c r="J9" s="1588"/>
      <c r="K9" s="1588"/>
    </row>
    <row r="10" spans="1:11" ht="19.5">
      <c r="A10" s="1589"/>
      <c r="B10" s="1589"/>
      <c r="C10" s="1589"/>
      <c r="D10" s="1589"/>
      <c r="E10" s="1589"/>
      <c r="F10" s="1589"/>
      <c r="G10" s="1589"/>
      <c r="H10" s="1589"/>
      <c r="I10" s="1589"/>
      <c r="J10" s="1589"/>
      <c r="K10" s="1589"/>
    </row>
    <row r="11" spans="1:11" ht="16.5" thickBot="1">
      <c r="A11" s="1190"/>
      <c r="B11" s="1190"/>
      <c r="C11" s="1590" t="s">
        <v>777</v>
      </c>
      <c r="D11" s="1590"/>
      <c r="E11" s="1590"/>
      <c r="F11" s="1190"/>
      <c r="G11" s="1590" t="s">
        <v>1308</v>
      </c>
      <c r="H11" s="1590"/>
      <c r="I11" s="1590"/>
      <c r="J11" s="1190"/>
      <c r="K11" s="1427" t="s">
        <v>399</v>
      </c>
    </row>
    <row r="12" spans="1:11" ht="15.75">
      <c r="A12" s="1191"/>
      <c r="B12" s="1190"/>
      <c r="C12" s="1192" t="s">
        <v>123</v>
      </c>
      <c r="D12" s="1193"/>
      <c r="E12" s="1193"/>
      <c r="F12" s="1193"/>
      <c r="G12" s="1194" t="s">
        <v>124</v>
      </c>
      <c r="H12" s="1195"/>
      <c r="I12" s="1195"/>
      <c r="J12" s="1195"/>
      <c r="K12" s="1195"/>
    </row>
    <row r="13" spans="1:11" ht="15">
      <c r="A13" s="1190"/>
      <c r="B13" s="1190"/>
      <c r="C13" s="1192" t="s">
        <v>116</v>
      </c>
      <c r="D13" s="1193"/>
      <c r="E13" s="1192" t="s">
        <v>400</v>
      </c>
      <c r="F13" s="1193"/>
      <c r="G13" s="1194" t="s">
        <v>778</v>
      </c>
      <c r="H13" s="1193"/>
      <c r="I13" s="1192" t="s">
        <v>400</v>
      </c>
      <c r="J13" s="1193"/>
      <c r="K13" s="1192" t="s">
        <v>400</v>
      </c>
    </row>
    <row r="14" spans="1:11" ht="15">
      <c r="A14" s="1190"/>
      <c r="B14" s="1192" t="s">
        <v>401</v>
      </c>
      <c r="C14" s="1192" t="s">
        <v>779</v>
      </c>
      <c r="D14" s="1192" t="s">
        <v>402</v>
      </c>
      <c r="E14" s="1192" t="s">
        <v>403</v>
      </c>
      <c r="F14" s="1193"/>
      <c r="G14" s="1194" t="s">
        <v>404</v>
      </c>
      <c r="H14" s="1192" t="s">
        <v>402</v>
      </c>
      <c r="I14" s="1192" t="s">
        <v>403</v>
      </c>
      <c r="J14" s="1193"/>
      <c r="K14" s="1192" t="s">
        <v>403</v>
      </c>
    </row>
    <row r="15" spans="1:11" ht="15">
      <c r="A15" s="1192"/>
      <c r="B15" s="1192" t="s">
        <v>405</v>
      </c>
      <c r="C15" s="1192" t="s">
        <v>406</v>
      </c>
      <c r="D15" s="1192" t="s">
        <v>780</v>
      </c>
      <c r="E15" s="1192" t="s">
        <v>407</v>
      </c>
      <c r="F15" s="1193"/>
      <c r="G15" s="1194" t="s">
        <v>406</v>
      </c>
      <c r="H15" s="1192" t="s">
        <v>780</v>
      </c>
      <c r="I15" s="1192" t="s">
        <v>407</v>
      </c>
      <c r="J15" s="1193"/>
      <c r="K15" s="1192" t="s">
        <v>407</v>
      </c>
    </row>
    <row r="16" spans="1:11" ht="15">
      <c r="A16" s="1196"/>
      <c r="B16" s="1196"/>
      <c r="C16" s="1196"/>
      <c r="D16" s="1196"/>
      <c r="E16" s="1196"/>
      <c r="F16" s="1196"/>
      <c r="G16" s="1197"/>
      <c r="H16" s="1196"/>
      <c r="I16" s="1196"/>
      <c r="J16" s="1196"/>
      <c r="K16" s="1196"/>
    </row>
    <row r="17" spans="1:11" ht="15.75" thickBot="1">
      <c r="A17" s="1198"/>
      <c r="B17" s="1190"/>
      <c r="C17" s="283"/>
      <c r="D17" s="1190"/>
      <c r="E17" s="1190"/>
      <c r="F17" s="1190"/>
      <c r="G17" s="1199"/>
      <c r="H17" s="1190"/>
      <c r="I17" s="1190"/>
      <c r="J17" s="1190"/>
      <c r="K17" s="1190"/>
    </row>
    <row r="18" spans="1:11" ht="15">
      <c r="A18" s="1200" t="s">
        <v>408</v>
      </c>
      <c r="B18" s="1201"/>
      <c r="C18" s="284"/>
      <c r="D18" s="285"/>
      <c r="E18" s="286"/>
      <c r="F18" s="1201"/>
      <c r="G18" s="286"/>
      <c r="H18" s="287"/>
      <c r="I18" s="286"/>
      <c r="J18" s="1201"/>
      <c r="K18" s="286"/>
    </row>
    <row r="19" spans="1:11" ht="15">
      <c r="A19" s="1196" t="s">
        <v>781</v>
      </c>
      <c r="B19" s="288">
        <v>350.1</v>
      </c>
      <c r="C19" s="289">
        <v>1.66E-2</v>
      </c>
      <c r="D19" s="290">
        <v>0.66233529999999996</v>
      </c>
      <c r="E19" s="289">
        <f t="shared" ref="E19:E27" si="0">ROUND((C19*D19),6)</f>
        <v>1.0995E-2</v>
      </c>
      <c r="F19" s="1202"/>
      <c r="G19" s="289">
        <v>1.6199999999999999E-2</v>
      </c>
      <c r="H19" s="290">
        <v>0.33766470000000004</v>
      </c>
      <c r="I19" s="289">
        <f t="shared" ref="I19:I27" si="1">ROUND((G19*H19),6)</f>
        <v>5.47E-3</v>
      </c>
      <c r="J19" s="1202"/>
      <c r="K19" s="283">
        <f>ROUND(E19+I19,4)</f>
        <v>1.6500000000000001E-2</v>
      </c>
    </row>
    <row r="20" spans="1:11" ht="15">
      <c r="A20" s="1203" t="s">
        <v>409</v>
      </c>
      <c r="B20" s="288">
        <v>352</v>
      </c>
      <c r="C20" s="289">
        <v>1.77E-2</v>
      </c>
      <c r="D20" s="290">
        <v>0.66233529999999996</v>
      </c>
      <c r="E20" s="289">
        <f t="shared" si="0"/>
        <v>1.1723000000000001E-2</v>
      </c>
      <c r="F20" s="1202"/>
      <c r="G20" s="289">
        <v>1.7399999999999999E-2</v>
      </c>
      <c r="H20" s="290">
        <v>0.33766470000000004</v>
      </c>
      <c r="I20" s="289">
        <f t="shared" si="1"/>
        <v>5.875E-3</v>
      </c>
      <c r="J20" s="1202"/>
      <c r="K20" s="283">
        <f t="shared" ref="K20:K27" si="2">ROUND(E20+I20,4)</f>
        <v>1.7600000000000001E-2</v>
      </c>
    </row>
    <row r="21" spans="1:11" ht="15">
      <c r="A21" s="1203" t="s">
        <v>410</v>
      </c>
      <c r="B21" s="288">
        <v>353</v>
      </c>
      <c r="C21" s="289">
        <v>2.4299999999999999E-2</v>
      </c>
      <c r="D21" s="290">
        <v>0.66233529999999996</v>
      </c>
      <c r="E21" s="289">
        <f t="shared" si="0"/>
        <v>1.6095000000000002E-2</v>
      </c>
      <c r="F21" s="1202"/>
      <c r="G21" s="289">
        <v>2.41E-2</v>
      </c>
      <c r="H21" s="290">
        <v>0.33766470000000004</v>
      </c>
      <c r="I21" s="289">
        <f t="shared" si="1"/>
        <v>8.1379999999999994E-3</v>
      </c>
      <c r="J21" s="1202"/>
      <c r="K21" s="283">
        <f t="shared" si="2"/>
        <v>2.4199999999999999E-2</v>
      </c>
    </row>
    <row r="22" spans="1:11" ht="15">
      <c r="A22" s="1203" t="s">
        <v>411</v>
      </c>
      <c r="B22" s="288">
        <v>354</v>
      </c>
      <c r="C22" s="289">
        <v>2.5700000000000001E-2</v>
      </c>
      <c r="D22" s="290">
        <v>0.66233529999999996</v>
      </c>
      <c r="E22" s="289">
        <f t="shared" si="0"/>
        <v>1.7021999999999999E-2</v>
      </c>
      <c r="F22" s="1202"/>
      <c r="G22" s="289">
        <v>2.4500000000000001E-2</v>
      </c>
      <c r="H22" s="290">
        <v>0.33766470000000004</v>
      </c>
      <c r="I22" s="289">
        <f t="shared" si="1"/>
        <v>8.2730000000000008E-3</v>
      </c>
      <c r="J22" s="1202"/>
      <c r="K22" s="283">
        <f t="shared" si="2"/>
        <v>2.53E-2</v>
      </c>
    </row>
    <row r="23" spans="1:11" ht="15">
      <c r="A23" s="1203" t="s">
        <v>412</v>
      </c>
      <c r="B23" s="288">
        <v>355</v>
      </c>
      <c r="C23" s="289">
        <v>3.1899999999999998E-2</v>
      </c>
      <c r="D23" s="290">
        <v>0.66233529999999996</v>
      </c>
      <c r="E23" s="289">
        <f t="shared" si="0"/>
        <v>2.1128000000000001E-2</v>
      </c>
      <c r="F23" s="1202"/>
      <c r="G23" s="289">
        <v>3.1699999999999999E-2</v>
      </c>
      <c r="H23" s="290">
        <v>0.33766470000000004</v>
      </c>
      <c r="I23" s="289">
        <f t="shared" si="1"/>
        <v>1.0704E-2</v>
      </c>
      <c r="J23" s="1202"/>
      <c r="K23" s="283">
        <f t="shared" si="2"/>
        <v>3.1800000000000002E-2</v>
      </c>
    </row>
    <row r="24" spans="1:11" ht="15">
      <c r="A24" s="1203" t="s">
        <v>782</v>
      </c>
      <c r="B24" s="288">
        <v>356</v>
      </c>
      <c r="C24" s="289">
        <v>2.35E-2</v>
      </c>
      <c r="D24" s="290">
        <v>0.66233529999999996</v>
      </c>
      <c r="E24" s="289">
        <f t="shared" si="0"/>
        <v>1.5565000000000001E-2</v>
      </c>
      <c r="F24" s="1202"/>
      <c r="G24" s="289">
        <v>2.2800000000000001E-2</v>
      </c>
      <c r="H24" s="290">
        <v>0.33766470000000004</v>
      </c>
      <c r="I24" s="289">
        <f t="shared" si="1"/>
        <v>7.6990000000000001E-3</v>
      </c>
      <c r="J24" s="1202"/>
      <c r="K24" s="283">
        <f t="shared" si="2"/>
        <v>2.3300000000000001E-2</v>
      </c>
    </row>
    <row r="25" spans="1:11" ht="15">
      <c r="A25" s="1203" t="s">
        <v>413</v>
      </c>
      <c r="B25" s="288">
        <v>357</v>
      </c>
      <c r="C25" s="289">
        <v>2.3E-2</v>
      </c>
      <c r="D25" s="290">
        <v>0.66233529999999996</v>
      </c>
      <c r="E25" s="289">
        <f t="shared" si="0"/>
        <v>1.5233999999999999E-2</v>
      </c>
      <c r="F25" s="1202"/>
      <c r="G25" s="289">
        <v>2.2100000000000002E-2</v>
      </c>
      <c r="H25" s="290">
        <v>0.33766470000000004</v>
      </c>
      <c r="I25" s="289">
        <f t="shared" si="1"/>
        <v>7.4619999999999999E-3</v>
      </c>
      <c r="J25" s="1202"/>
      <c r="K25" s="283">
        <f t="shared" si="2"/>
        <v>2.2700000000000001E-2</v>
      </c>
    </row>
    <row r="26" spans="1:11" ht="15">
      <c r="A26" s="1203" t="s">
        <v>414</v>
      </c>
      <c r="B26" s="288">
        <v>358</v>
      </c>
      <c r="C26" s="289">
        <v>1.9300000000000001E-2</v>
      </c>
      <c r="D26" s="290">
        <v>0.66233529999999996</v>
      </c>
      <c r="E26" s="289">
        <f t="shared" si="0"/>
        <v>1.2782999999999999E-2</v>
      </c>
      <c r="F26" s="1202"/>
      <c r="G26" s="289">
        <v>1.9E-2</v>
      </c>
      <c r="H26" s="290">
        <v>0.33766470000000004</v>
      </c>
      <c r="I26" s="289">
        <f t="shared" si="1"/>
        <v>6.4159999999999998E-3</v>
      </c>
      <c r="J26" s="1202"/>
      <c r="K26" s="283">
        <f t="shared" si="2"/>
        <v>1.9199999999999998E-2</v>
      </c>
    </row>
    <row r="27" spans="1:11" ht="15">
      <c r="A27" s="1203" t="s">
        <v>783</v>
      </c>
      <c r="B27" s="288">
        <v>359</v>
      </c>
      <c r="C27" s="289">
        <v>1.61E-2</v>
      </c>
      <c r="D27" s="290">
        <v>0.66233529999999996</v>
      </c>
      <c r="E27" s="289">
        <f t="shared" si="0"/>
        <v>1.0664E-2</v>
      </c>
      <c r="F27" s="1202"/>
      <c r="G27" s="289">
        <v>1.5900000000000001E-2</v>
      </c>
      <c r="H27" s="290">
        <v>0.33766470000000004</v>
      </c>
      <c r="I27" s="289">
        <f t="shared" si="1"/>
        <v>5.3689999999999996E-3</v>
      </c>
      <c r="J27" s="1202"/>
      <c r="K27" s="283">
        <f t="shared" si="2"/>
        <v>1.6E-2</v>
      </c>
    </row>
    <row r="28" spans="1:11" ht="15">
      <c r="A28" s="1196"/>
      <c r="B28" s="1196"/>
      <c r="C28" s="1196"/>
      <c r="D28" s="1196"/>
      <c r="E28" s="1196"/>
      <c r="F28" s="1196"/>
      <c r="G28" s="1196"/>
      <c r="H28" s="1196"/>
      <c r="I28" s="1196"/>
      <c r="J28" s="1196"/>
      <c r="K28" s="1196"/>
    </row>
    <row r="29" spans="1:11" ht="15.75" thickBot="1">
      <c r="A29" s="1196"/>
      <c r="B29" s="1196"/>
      <c r="C29" s="1196"/>
      <c r="D29" s="1196"/>
      <c r="E29" s="1196"/>
      <c r="F29" s="1196"/>
      <c r="G29" s="1196"/>
      <c r="H29" s="1196"/>
      <c r="I29" s="1196"/>
      <c r="J29" s="1196"/>
      <c r="K29" s="1196"/>
    </row>
    <row r="30" spans="1:11" ht="15">
      <c r="A30" s="1326" t="s">
        <v>1143</v>
      </c>
      <c r="B30" s="1327"/>
      <c r="C30" s="1430"/>
      <c r="D30" s="1329"/>
      <c r="E30" s="1330"/>
      <c r="F30" s="1327"/>
      <c r="G30" s="1331"/>
      <c r="H30" s="1329"/>
      <c r="I30" s="1330"/>
      <c r="J30" s="1327"/>
      <c r="K30" s="1196"/>
    </row>
    <row r="31" spans="1:11" ht="15">
      <c r="A31" s="1431"/>
      <c r="B31" s="288">
        <v>390</v>
      </c>
      <c r="C31" s="289">
        <v>2.0799999999999999E-2</v>
      </c>
      <c r="D31" s="290">
        <v>0.68186831634107659</v>
      </c>
      <c r="E31" s="289">
        <f t="shared" ref="E31:E39" si="3">ROUND((C31*D31),6)</f>
        <v>1.4182999999999999E-2</v>
      </c>
      <c r="F31" s="1202"/>
      <c r="G31" s="289">
        <v>2.0799999999999999E-2</v>
      </c>
      <c r="H31" s="290">
        <v>0.31813168365892341</v>
      </c>
      <c r="I31" s="289">
        <f t="shared" ref="I31:I39" si="4">ROUND((G31*H31),6)</f>
        <v>6.6169999999999996E-3</v>
      </c>
      <c r="J31" s="1432"/>
      <c r="K31" s="283">
        <f t="shared" ref="K31:K39" si="5">ROUND(E31+I31,4)</f>
        <v>2.0799999999999999E-2</v>
      </c>
    </row>
    <row r="32" spans="1:11" ht="15">
      <c r="A32" s="1431"/>
      <c r="B32" s="288">
        <v>391</v>
      </c>
      <c r="C32" s="289">
        <v>4.7899999999999998E-2</v>
      </c>
      <c r="D32" s="290">
        <v>0.68186831634107659</v>
      </c>
      <c r="E32" s="289">
        <f t="shared" si="3"/>
        <v>3.2661000000000003E-2</v>
      </c>
      <c r="F32" s="1202"/>
      <c r="G32" s="289">
        <v>4.8399999999999999E-2</v>
      </c>
      <c r="H32" s="290">
        <v>0.31813168365892341</v>
      </c>
      <c r="I32" s="289">
        <f t="shared" si="4"/>
        <v>1.5398E-2</v>
      </c>
      <c r="J32" s="1432"/>
      <c r="K32" s="283">
        <f t="shared" si="5"/>
        <v>4.8099999999999997E-2</v>
      </c>
    </row>
    <row r="33" spans="1:11" ht="15">
      <c r="A33" s="1433" t="s">
        <v>1309</v>
      </c>
      <c r="B33" s="288">
        <v>392</v>
      </c>
      <c r="C33" s="289">
        <v>4.6399999999999997E-2</v>
      </c>
      <c r="D33" s="290">
        <v>0.68186831634107659</v>
      </c>
      <c r="E33" s="289">
        <f t="shared" si="3"/>
        <v>3.1639E-2</v>
      </c>
      <c r="F33" s="1202"/>
      <c r="G33" s="289">
        <v>4.6800000000000001E-2</v>
      </c>
      <c r="H33" s="290">
        <v>0.31813168365892341</v>
      </c>
      <c r="I33" s="289">
        <f t="shared" si="4"/>
        <v>1.4888999999999999E-2</v>
      </c>
      <c r="J33" s="1432"/>
      <c r="K33" s="283">
        <f t="shared" si="5"/>
        <v>4.65E-2</v>
      </c>
    </row>
    <row r="34" spans="1:11" ht="15">
      <c r="A34" s="1431"/>
      <c r="B34" s="288">
        <v>393</v>
      </c>
      <c r="C34" s="289">
        <v>7.3499999999999996E-2</v>
      </c>
      <c r="D34" s="290">
        <v>0.68186831634107659</v>
      </c>
      <c r="E34" s="289">
        <f t="shared" si="3"/>
        <v>5.0117000000000002E-2</v>
      </c>
      <c r="F34" s="1202"/>
      <c r="G34" s="289">
        <v>7.3800000000000004E-2</v>
      </c>
      <c r="H34" s="290">
        <v>0.31813168365892341</v>
      </c>
      <c r="I34" s="289">
        <f t="shared" si="4"/>
        <v>2.3477999999999999E-2</v>
      </c>
      <c r="J34" s="1432"/>
      <c r="K34" s="283">
        <f t="shared" si="5"/>
        <v>7.3599999999999999E-2</v>
      </c>
    </row>
    <row r="35" spans="1:11" ht="15">
      <c r="A35" s="1431"/>
      <c r="B35" s="288">
        <v>394</v>
      </c>
      <c r="C35" s="289">
        <v>6.9900000000000004E-2</v>
      </c>
      <c r="D35" s="290">
        <v>0.68186831634107659</v>
      </c>
      <c r="E35" s="289">
        <f t="shared" si="3"/>
        <v>4.7662999999999997E-2</v>
      </c>
      <c r="F35" s="1202"/>
      <c r="G35" s="289">
        <v>7.0699999999999999E-2</v>
      </c>
      <c r="H35" s="290">
        <v>0.31813168365892341</v>
      </c>
      <c r="I35" s="289">
        <f t="shared" si="4"/>
        <v>2.2492000000000002E-2</v>
      </c>
      <c r="J35" s="1432"/>
      <c r="K35" s="283">
        <f t="shared" si="5"/>
        <v>7.0199999999999999E-2</v>
      </c>
    </row>
    <row r="36" spans="1:11" ht="15">
      <c r="A36" s="1431"/>
      <c r="B36" s="288">
        <v>395</v>
      </c>
      <c r="C36" s="289">
        <v>5.4100000000000002E-2</v>
      </c>
      <c r="D36" s="290">
        <v>0.68186831634107659</v>
      </c>
      <c r="E36" s="289">
        <f t="shared" si="3"/>
        <v>3.6888999999999998E-2</v>
      </c>
      <c r="F36" s="1202"/>
      <c r="G36" s="289">
        <v>5.4600000000000003E-2</v>
      </c>
      <c r="H36" s="290">
        <v>0.31813168365892341</v>
      </c>
      <c r="I36" s="289">
        <f t="shared" si="4"/>
        <v>1.737E-2</v>
      </c>
      <c r="J36" s="1432"/>
      <c r="K36" s="283">
        <f t="shared" si="5"/>
        <v>5.4300000000000001E-2</v>
      </c>
    </row>
    <row r="37" spans="1:11" ht="15">
      <c r="A37" s="1431"/>
      <c r="B37" s="288">
        <v>396</v>
      </c>
      <c r="C37" s="289">
        <v>4.8099999999999997E-2</v>
      </c>
      <c r="D37" s="290">
        <v>0.68186831634107659</v>
      </c>
      <c r="E37" s="289">
        <f t="shared" si="3"/>
        <v>3.2798000000000001E-2</v>
      </c>
      <c r="F37" s="1202"/>
      <c r="G37" s="289">
        <v>4.9000000000000002E-2</v>
      </c>
      <c r="H37" s="290">
        <v>0.31813168365892341</v>
      </c>
      <c r="I37" s="289">
        <f t="shared" si="4"/>
        <v>1.5587999999999999E-2</v>
      </c>
      <c r="J37" s="1432"/>
      <c r="K37" s="283">
        <f t="shared" si="5"/>
        <v>4.8399999999999999E-2</v>
      </c>
    </row>
    <row r="38" spans="1:11" ht="15">
      <c r="A38" s="1431"/>
      <c r="B38" s="288">
        <v>397</v>
      </c>
      <c r="C38" s="289">
        <v>3.9100000000000003E-2</v>
      </c>
      <c r="D38" s="290">
        <v>0.68186831634107659</v>
      </c>
      <c r="E38" s="289">
        <f t="shared" si="3"/>
        <v>2.6661000000000001E-2</v>
      </c>
      <c r="F38" s="1202"/>
      <c r="G38" s="289">
        <v>3.9300000000000002E-2</v>
      </c>
      <c r="H38" s="290">
        <v>0.31813168365892341</v>
      </c>
      <c r="I38" s="289">
        <f t="shared" si="4"/>
        <v>1.2503E-2</v>
      </c>
      <c r="J38" s="1432"/>
      <c r="K38" s="283">
        <f t="shared" si="5"/>
        <v>3.9199999999999999E-2</v>
      </c>
    </row>
    <row r="39" spans="1:11" ht="15">
      <c r="A39" s="1431"/>
      <c r="B39" s="288">
        <v>398</v>
      </c>
      <c r="C39" s="289">
        <v>3.32E-2</v>
      </c>
      <c r="D39" s="290">
        <v>0.68186831634107659</v>
      </c>
      <c r="E39" s="289">
        <f t="shared" si="3"/>
        <v>2.2637999999999998E-2</v>
      </c>
      <c r="F39" s="1202"/>
      <c r="G39" s="289">
        <v>3.3500000000000002E-2</v>
      </c>
      <c r="H39" s="290">
        <v>0.31813168365892341</v>
      </c>
      <c r="I39" s="289">
        <f t="shared" si="4"/>
        <v>1.0657E-2</v>
      </c>
      <c r="J39" s="1432"/>
      <c r="K39" s="283">
        <f t="shared" si="5"/>
        <v>3.3300000000000003E-2</v>
      </c>
    </row>
    <row r="40" spans="1:11" ht="15.75" thickBot="1">
      <c r="A40" s="1332"/>
      <c r="B40" s="1333"/>
      <c r="C40" s="1334"/>
      <c r="D40" s="1335"/>
      <c r="E40" s="1336"/>
      <c r="F40" s="1333"/>
      <c r="G40" s="1336"/>
      <c r="H40" s="1335"/>
      <c r="I40" s="1336"/>
      <c r="J40" s="1333"/>
      <c r="K40" s="1196"/>
    </row>
    <row r="41" spans="1:11" ht="15">
      <c r="A41" s="1196"/>
      <c r="B41" s="1196"/>
      <c r="C41" s="1196"/>
      <c r="D41" s="1196"/>
      <c r="E41" s="1196"/>
      <c r="F41" s="1196"/>
      <c r="G41" s="1196"/>
      <c r="H41" s="1196"/>
      <c r="I41" s="1196"/>
      <c r="J41" s="1196"/>
      <c r="K41" s="1196"/>
    </row>
    <row r="42" spans="1:11" ht="15">
      <c r="A42" s="1196"/>
      <c r="B42" s="1196"/>
      <c r="C42" s="1196"/>
      <c r="D42" s="1196"/>
      <c r="E42" s="1196"/>
      <c r="F42" s="1196"/>
      <c r="G42" s="1196"/>
      <c r="H42" s="1196"/>
      <c r="I42" s="1196"/>
      <c r="J42" s="1196"/>
      <c r="K42" s="1196"/>
    </row>
    <row r="43" spans="1:11" ht="15">
      <c r="A43" s="1196"/>
      <c r="B43" s="1190"/>
      <c r="C43" s="283"/>
      <c r="D43" s="1196"/>
      <c r="E43" s="1196"/>
      <c r="F43" s="1196"/>
      <c r="G43" s="1197"/>
      <c r="H43" s="1196"/>
      <c r="I43" s="1196"/>
      <c r="J43" s="1196"/>
      <c r="K43" s="1196"/>
    </row>
    <row r="44" spans="1:11" ht="15.75">
      <c r="A44" s="1191" t="s">
        <v>1316</v>
      </c>
      <c r="B44" s="1204"/>
      <c r="C44" s="291"/>
      <c r="D44" s="1204"/>
      <c r="E44" s="1196"/>
      <c r="F44" s="1204"/>
      <c r="G44" s="1196"/>
      <c r="H44" s="1190"/>
      <c r="I44" s="1196"/>
      <c r="J44" s="1196"/>
      <c r="K44" s="1196"/>
    </row>
    <row r="45" spans="1:11" ht="15.75">
      <c r="A45" s="1191" t="s">
        <v>1317</v>
      </c>
      <c r="B45" s="1204"/>
      <c r="C45" s="291"/>
      <c r="D45" s="1204"/>
      <c r="E45" s="1204"/>
      <c r="F45" s="1204"/>
      <c r="G45" s="1196"/>
      <c r="H45" s="1190"/>
      <c r="I45" s="1196"/>
      <c r="J45" s="1196"/>
      <c r="K45" s="1196"/>
    </row>
    <row r="46" spans="1:11" ht="15.75">
      <c r="A46" s="1191" t="s">
        <v>1318</v>
      </c>
      <c r="B46" s="1204"/>
      <c r="C46" s="291"/>
      <c r="D46" s="1205"/>
      <c r="E46" s="1205"/>
      <c r="F46" s="1205"/>
      <c r="G46" s="1196"/>
      <c r="H46" s="1196"/>
      <c r="I46" s="1196"/>
      <c r="J46" s="1196"/>
      <c r="K46" s="1196"/>
    </row>
    <row r="47" spans="1:11" ht="15" customHeight="1">
      <c r="A47" s="1591" t="s">
        <v>784</v>
      </c>
      <c r="B47" s="1592"/>
      <c r="C47" s="1592"/>
      <c r="D47" s="1592"/>
      <c r="E47" s="1592"/>
      <c r="F47" s="1592"/>
      <c r="G47" s="1592"/>
      <c r="H47" s="1592"/>
      <c r="I47" s="1592"/>
      <c r="J47" s="1592"/>
      <c r="K47" s="1196"/>
    </row>
    <row r="48" spans="1:11" ht="15">
      <c r="A48" s="1592"/>
      <c r="B48" s="1592"/>
      <c r="C48" s="1592"/>
      <c r="D48" s="1592"/>
      <c r="E48" s="1592"/>
      <c r="F48" s="1592"/>
      <c r="G48" s="1592"/>
      <c r="H48" s="1592"/>
      <c r="I48" s="1592"/>
      <c r="J48" s="1592"/>
      <c r="K48" s="1196"/>
    </row>
    <row r="49" spans="1:11" ht="15">
      <c r="A49" s="1592"/>
      <c r="B49" s="1592"/>
      <c r="C49" s="1592"/>
      <c r="D49" s="1592"/>
      <c r="E49" s="1592"/>
      <c r="F49" s="1592"/>
      <c r="G49" s="1592"/>
      <c r="H49" s="1592"/>
      <c r="I49" s="1592"/>
      <c r="J49" s="1592"/>
      <c r="K49" s="1196"/>
    </row>
    <row r="50" spans="1:11" ht="15.75">
      <c r="A50" s="1196"/>
      <c r="B50" s="1204"/>
      <c r="C50" s="291"/>
      <c r="D50" s="1205"/>
      <c r="E50" s="1205"/>
      <c r="F50" s="1205"/>
      <c r="G50" s="1197"/>
      <c r="H50" s="1196"/>
      <c r="I50" s="1196"/>
      <c r="J50" s="1196"/>
      <c r="K50" s="1196"/>
    </row>
    <row r="51" spans="1:11" ht="15.75">
      <c r="A51" s="1206" t="s">
        <v>415</v>
      </c>
      <c r="B51" s="1190"/>
      <c r="C51" s="283"/>
      <c r="D51" s="1196"/>
      <c r="E51" s="1196"/>
      <c r="F51" s="1196"/>
      <c r="G51" s="1197"/>
      <c r="H51" s="1196"/>
      <c r="I51" s="1196"/>
      <c r="J51" s="1196"/>
      <c r="K51" s="1196"/>
    </row>
    <row r="52" spans="1:11" ht="15">
      <c r="A52" s="1434" t="s">
        <v>29</v>
      </c>
      <c r="B52" s="1435"/>
      <c r="C52" s="1435"/>
      <c r="D52" s="1436"/>
      <c r="E52" s="1196"/>
      <c r="F52" s="1196"/>
      <c r="G52" s="1197"/>
      <c r="H52" s="1196"/>
      <c r="I52" s="1196"/>
      <c r="J52" s="1196"/>
      <c r="K52" s="1196"/>
    </row>
    <row r="53" spans="1:11" ht="15">
      <c r="A53" s="1593" t="s">
        <v>785</v>
      </c>
      <c r="B53" s="1593"/>
      <c r="C53" s="1593"/>
      <c r="D53" s="1593"/>
      <c r="E53" s="1593"/>
      <c r="F53" s="1593"/>
      <c r="G53" s="1593"/>
      <c r="H53" s="1593"/>
      <c r="I53" s="1593"/>
      <c r="J53" s="1593"/>
      <c r="K53" s="1196"/>
    </row>
    <row r="54" spans="1:11" ht="15">
      <c r="A54" s="1593"/>
      <c r="B54" s="1593"/>
      <c r="C54" s="1593"/>
      <c r="D54" s="1593"/>
      <c r="E54" s="1593"/>
      <c r="F54" s="1593"/>
      <c r="G54" s="1593"/>
      <c r="H54" s="1593"/>
      <c r="I54" s="1593"/>
      <c r="J54" s="1593"/>
      <c r="K54" s="1196"/>
    </row>
    <row r="55" spans="1:11" ht="15">
      <c r="A55" s="1587" t="s">
        <v>833</v>
      </c>
      <c r="B55" s="1587"/>
      <c r="C55" s="1587"/>
      <c r="D55" s="1587"/>
      <c r="E55" s="1587"/>
      <c r="F55" s="1587"/>
      <c r="G55" s="1587"/>
      <c r="H55" s="1587"/>
      <c r="I55" s="1587"/>
      <c r="J55" s="1587"/>
      <c r="K55" s="1196"/>
    </row>
    <row r="56" spans="1:11" ht="15">
      <c r="A56" s="1587"/>
      <c r="B56" s="1587"/>
      <c r="C56" s="1587"/>
      <c r="D56" s="1587"/>
      <c r="E56" s="1587"/>
      <c r="F56" s="1587"/>
      <c r="G56" s="1587"/>
      <c r="H56" s="1587"/>
      <c r="I56" s="1587"/>
      <c r="J56" s="1587"/>
      <c r="K56" s="1196"/>
    </row>
    <row r="57" spans="1:11" ht="15">
      <c r="A57" s="1196"/>
      <c r="B57" s="1196"/>
      <c r="C57" s="1196"/>
      <c r="D57" s="1196"/>
      <c r="E57" s="1196"/>
      <c r="F57" s="1196"/>
      <c r="G57" s="1197"/>
      <c r="H57" s="1196"/>
      <c r="I57" s="1196"/>
      <c r="J57" s="1196"/>
      <c r="K57" s="1196"/>
    </row>
    <row r="58" spans="1:11" ht="15">
      <c r="A58" s="1196"/>
      <c r="B58" s="1196"/>
      <c r="C58" s="1196"/>
      <c r="D58" s="1196"/>
      <c r="E58" s="1196"/>
      <c r="F58" s="1196"/>
      <c r="G58" s="1197"/>
      <c r="H58" s="1196"/>
      <c r="I58" s="1196"/>
      <c r="J58" s="1196"/>
      <c r="K58" s="1196"/>
    </row>
    <row r="59" spans="1:11" ht="15">
      <c r="A59" s="1196"/>
      <c r="B59" s="1196"/>
      <c r="C59" s="1196"/>
      <c r="D59" s="1196"/>
      <c r="E59" s="1196"/>
      <c r="F59" s="1196"/>
      <c r="G59" s="1197"/>
      <c r="H59" s="1196"/>
      <c r="I59" s="1196"/>
      <c r="J59" s="1196"/>
      <c r="K59" s="1196"/>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6 A8:K9">
    <cfRule type="cellIs" dxfId="6" priority="2" stopIfTrue="1" operator="lessThan">
      <formula>0</formula>
    </cfRule>
  </conditionalFormatting>
  <conditionalFormatting sqref="A7:K7">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D263" sqref="D263"/>
    </sheetView>
  </sheetViews>
  <sheetFormatPr defaultColWidth="9.140625" defaultRowHeight="12.75"/>
  <cols>
    <col min="1" max="1" width="33.5703125" style="1189" customWidth="1"/>
    <col min="2" max="2" width="17.140625" style="1189" customWidth="1"/>
    <col min="3" max="3" width="23.42578125" style="1189" customWidth="1"/>
    <col min="4" max="4" width="9.140625" style="1189"/>
    <col min="5" max="5" width="21.85546875" style="1189" customWidth="1"/>
    <col min="6" max="16384" width="9.140625" style="1189"/>
  </cols>
  <sheetData>
    <row r="1" spans="1:7" s="812" customFormat="1" ht="15.75">
      <c r="A1" s="943" t="s">
        <v>116</v>
      </c>
      <c r="G1" s="289"/>
    </row>
    <row r="2" spans="1:7" s="812" customFormat="1" ht="15.75">
      <c r="A2" s="943" t="s">
        <v>116</v>
      </c>
      <c r="G2" s="289"/>
    </row>
    <row r="3" spans="1:7" ht="19.5">
      <c r="A3" s="1196"/>
      <c r="B3" s="1595" t="s">
        <v>393</v>
      </c>
      <c r="C3" s="1595"/>
      <c r="D3" s="1595"/>
      <c r="E3" s="1595"/>
    </row>
    <row r="4" spans="1:7" ht="19.5">
      <c r="A4" s="1196"/>
      <c r="B4" s="1595" t="s">
        <v>786</v>
      </c>
      <c r="C4" s="1595"/>
      <c r="D4" s="1595"/>
      <c r="E4" s="1595"/>
    </row>
    <row r="5" spans="1:7" ht="19.5">
      <c r="A5" s="1196"/>
      <c r="B5" s="1595" t="s">
        <v>787</v>
      </c>
      <c r="C5" s="1595"/>
      <c r="D5" s="1595"/>
      <c r="E5" s="1595"/>
    </row>
    <row r="6" spans="1:7" ht="19.5">
      <c r="A6" s="1196"/>
      <c r="B6" s="1595" t="s">
        <v>788</v>
      </c>
      <c r="C6" s="1595"/>
      <c r="D6" s="1595"/>
      <c r="E6" s="1595"/>
    </row>
    <row r="7" spans="1:7" ht="19.5">
      <c r="A7" s="1196"/>
      <c r="B7" s="1595" t="s">
        <v>789</v>
      </c>
      <c r="C7" s="1595"/>
      <c r="D7" s="1595"/>
      <c r="E7" s="1595"/>
    </row>
    <row r="8" spans="1:7" ht="19.5">
      <c r="A8" s="1196"/>
      <c r="B8" s="1595" t="s">
        <v>790</v>
      </c>
      <c r="C8" s="1595"/>
      <c r="D8" s="1595"/>
      <c r="E8" s="1595"/>
    </row>
    <row r="9" spans="1:7" ht="15">
      <c r="A9" s="1196"/>
      <c r="B9" s="1190"/>
      <c r="C9" s="1190"/>
      <c r="D9" s="1192" t="s">
        <v>116</v>
      </c>
      <c r="E9" s="1196"/>
    </row>
    <row r="10" spans="1:7" ht="15.75">
      <c r="A10" s="1190"/>
      <c r="B10" s="1207" t="s">
        <v>401</v>
      </c>
      <c r="C10" s="1196"/>
      <c r="D10" s="1196"/>
      <c r="E10" s="1208"/>
    </row>
    <row r="11" spans="1:7" ht="15.75">
      <c r="A11" s="1192"/>
      <c r="B11" s="1207" t="s">
        <v>405</v>
      </c>
      <c r="C11" s="1207" t="s">
        <v>406</v>
      </c>
      <c r="D11" s="1207"/>
      <c r="E11" s="1196"/>
    </row>
    <row r="12" spans="1:7" ht="15.75" thickBot="1">
      <c r="A12" s="1198"/>
      <c r="B12" s="1190"/>
      <c r="C12" s="1209" t="s">
        <v>501</v>
      </c>
      <c r="D12" s="1196"/>
      <c r="E12" s="1196"/>
    </row>
    <row r="13" spans="1:7" ht="15">
      <c r="A13" s="1200" t="s">
        <v>408</v>
      </c>
      <c r="B13" s="1201"/>
      <c r="C13" s="284"/>
      <c r="D13" s="1196"/>
      <c r="E13" s="1196"/>
    </row>
    <row r="14" spans="1:7" ht="15">
      <c r="A14" s="1196"/>
      <c r="B14" s="1210"/>
      <c r="C14" s="283"/>
      <c r="D14" s="1211"/>
      <c r="E14" s="1196"/>
    </row>
    <row r="15" spans="1:7" ht="15">
      <c r="A15" s="1196" t="s">
        <v>409</v>
      </c>
      <c r="B15" s="288">
        <v>352</v>
      </c>
      <c r="C15" s="283">
        <v>1.04E-2</v>
      </c>
      <c r="D15" s="1211"/>
      <c r="E15" s="1196"/>
    </row>
    <row r="16" spans="1:7" ht="15">
      <c r="A16" s="1196" t="s">
        <v>410</v>
      </c>
      <c r="B16" s="288">
        <v>353</v>
      </c>
      <c r="C16" s="283">
        <v>1.49E-2</v>
      </c>
      <c r="D16" s="1211"/>
      <c r="E16" s="1196"/>
    </row>
    <row r="17" spans="1:5" ht="15">
      <c r="A17" s="1196" t="s">
        <v>411</v>
      </c>
      <c r="B17" s="288">
        <v>354</v>
      </c>
      <c r="C17" s="283">
        <v>1.1999999999999999E-3</v>
      </c>
      <c r="D17" s="1211"/>
      <c r="E17" s="1196"/>
    </row>
    <row r="18" spans="1:5" ht="15">
      <c r="A18" s="1196" t="s">
        <v>412</v>
      </c>
      <c r="B18" s="288">
        <v>355</v>
      </c>
      <c r="C18" s="283">
        <v>2.1399999999999999E-2</v>
      </c>
      <c r="D18" s="1211"/>
      <c r="E18" s="1196"/>
    </row>
    <row r="19" spans="1:5" ht="15">
      <c r="A19" s="1196" t="s">
        <v>782</v>
      </c>
      <c r="B19" s="288">
        <v>356</v>
      </c>
      <c r="C19" s="283">
        <v>7.7000000000000002E-3</v>
      </c>
      <c r="D19" s="1211"/>
      <c r="E19" s="1196"/>
    </row>
    <row r="20" spans="1:5" ht="15">
      <c r="A20" s="1203" t="s">
        <v>413</v>
      </c>
      <c r="B20" s="288">
        <v>357</v>
      </c>
      <c r="C20" s="1212" t="s">
        <v>624</v>
      </c>
      <c r="D20" s="1196"/>
      <c r="E20" s="1196"/>
    </row>
    <row r="21" spans="1:5" ht="15">
      <c r="A21" s="1203" t="s">
        <v>414</v>
      </c>
      <c r="B21" s="288">
        <v>358</v>
      </c>
      <c r="C21" s="1212" t="s">
        <v>624</v>
      </c>
      <c r="D21" s="1211"/>
      <c r="E21" s="1196"/>
    </row>
    <row r="22" spans="1:5" ht="15.75">
      <c r="A22" s="1191" t="s">
        <v>791</v>
      </c>
      <c r="B22" s="1213"/>
      <c r="C22" s="1214">
        <v>1.46E-2</v>
      </c>
      <c r="D22" s="1211"/>
      <c r="E22" s="1196"/>
    </row>
    <row r="23" spans="1:5" ht="15.75">
      <c r="A23" s="1191"/>
      <c r="B23" s="1213"/>
      <c r="C23" s="1214"/>
      <c r="D23" s="1211"/>
      <c r="E23" s="1196"/>
    </row>
    <row r="24" spans="1:5" s="3" customFormat="1" ht="15.75">
      <c r="A24" s="1221" t="s">
        <v>817</v>
      </c>
      <c r="C24" s="1"/>
    </row>
    <row r="25" spans="1:5" s="3" customFormat="1">
      <c r="C25" s="1"/>
    </row>
    <row r="26" spans="1:5" s="3" customFormat="1" ht="15">
      <c r="A26" s="1222" t="s">
        <v>818</v>
      </c>
      <c r="B26" s="1226">
        <v>390</v>
      </c>
      <c r="C26" s="1225">
        <v>1.7100000000000001E-2</v>
      </c>
    </row>
    <row r="27" spans="1:5" s="3" customFormat="1" ht="15">
      <c r="A27" s="1222" t="s">
        <v>819</v>
      </c>
      <c r="B27" s="1226">
        <v>391</v>
      </c>
      <c r="C27" s="1225">
        <v>2.8199999999999999E-2</v>
      </c>
    </row>
    <row r="28" spans="1:5" s="3" customFormat="1" ht="15">
      <c r="A28" s="1222" t="s">
        <v>820</v>
      </c>
      <c r="B28" s="1226">
        <v>393</v>
      </c>
      <c r="C28" s="1225">
        <v>2.2200000000000001E-2</v>
      </c>
    </row>
    <row r="29" spans="1:5" s="3" customFormat="1" ht="15">
      <c r="A29" s="1222" t="s">
        <v>821</v>
      </c>
      <c r="B29" s="1226">
        <v>394</v>
      </c>
      <c r="C29" s="1225">
        <v>3.1199999999999999E-2</v>
      </c>
    </row>
    <row r="30" spans="1:5" s="3" customFormat="1" ht="15">
      <c r="A30" s="1222" t="s">
        <v>822</v>
      </c>
      <c r="B30" s="1226">
        <v>395</v>
      </c>
      <c r="C30" s="1225">
        <v>3.1699999999999999E-2</v>
      </c>
    </row>
    <row r="31" spans="1:5" s="3" customFormat="1" ht="15">
      <c r="A31" s="1222" t="s">
        <v>823</v>
      </c>
      <c r="B31" s="1226">
        <v>397</v>
      </c>
      <c r="C31" s="1225">
        <v>3.32E-2</v>
      </c>
    </row>
    <row r="32" spans="1:5" s="3" customFormat="1" ht="15">
      <c r="A32" s="1222" t="s">
        <v>824</v>
      </c>
      <c r="B32" s="1226">
        <v>398</v>
      </c>
      <c r="C32" s="1225">
        <v>4.9200000000000001E-2</v>
      </c>
    </row>
    <row r="33" spans="1:5" s="3" customFormat="1" ht="15">
      <c r="A33" s="40"/>
      <c r="B33" s="1222"/>
      <c r="C33" s="1225"/>
    </row>
    <row r="34" spans="1:5" s="3" customFormat="1" ht="15.75">
      <c r="A34" s="40"/>
      <c r="B34" s="1224" t="s">
        <v>825</v>
      </c>
      <c r="C34" s="1225">
        <v>3.2500000000000001E-2</v>
      </c>
    </row>
    <row r="35" spans="1:5" s="3" customFormat="1" ht="15.75">
      <c r="A35" s="40"/>
      <c r="B35" s="1224"/>
      <c r="C35" s="1223"/>
    </row>
    <row r="36" spans="1:5" ht="15.75">
      <c r="A36" s="1196" t="s">
        <v>792</v>
      </c>
      <c r="B36" s="1204"/>
      <c r="C36" s="291"/>
      <c r="D36" s="1196"/>
      <c r="E36" s="1196"/>
    </row>
    <row r="37" spans="1:5" ht="15">
      <c r="A37" s="1596"/>
      <c r="B37" s="1596"/>
      <c r="C37" s="1596"/>
      <c r="D37" s="1596"/>
      <c r="E37" s="1196"/>
    </row>
    <row r="38" spans="1:5" ht="15">
      <c r="A38" s="1596" t="s">
        <v>793</v>
      </c>
      <c r="B38" s="1596"/>
      <c r="C38" s="1596"/>
      <c r="D38" s="1596"/>
      <c r="E38" s="1196"/>
    </row>
    <row r="39" spans="1:5" ht="15">
      <c r="A39" s="1215" t="s">
        <v>160</v>
      </c>
      <c r="B39" s="1215"/>
      <c r="C39" s="1215"/>
      <c r="D39" s="1215"/>
      <c r="E39" s="1196"/>
    </row>
    <row r="40" spans="1:5" ht="15">
      <c r="A40" s="1596" t="s">
        <v>794</v>
      </c>
      <c r="B40" s="1596"/>
      <c r="C40" s="1596"/>
      <c r="D40" s="1196"/>
      <c r="E40" s="1196"/>
    </row>
    <row r="41" spans="1:5" ht="15">
      <c r="A41" s="1596"/>
      <c r="B41" s="1596"/>
      <c r="C41" s="1596"/>
      <c r="D41" s="1196"/>
      <c r="E41" s="1196"/>
    </row>
    <row r="42" spans="1:5" ht="15">
      <c r="A42" s="1196"/>
      <c r="B42" s="1190"/>
      <c r="C42" s="283"/>
      <c r="D42" s="1196"/>
      <c r="E42" s="1196"/>
    </row>
    <row r="43" spans="1:5" ht="15">
      <c r="A43" s="1596"/>
      <c r="B43" s="1596"/>
      <c r="C43" s="1596"/>
      <c r="D43" s="1596"/>
      <c r="E43" s="1196"/>
    </row>
    <row r="44" spans="1:5" ht="15.75">
      <c r="A44" s="1206" t="s">
        <v>795</v>
      </c>
      <c r="B44" s="1190"/>
      <c r="C44" s="283"/>
      <c r="D44" s="1196"/>
      <c r="E44" s="1196"/>
    </row>
    <row r="45" spans="1:5" ht="15">
      <c r="A45" s="1594" t="s">
        <v>833</v>
      </c>
      <c r="B45" s="1594"/>
      <c r="C45" s="1594"/>
      <c r="D45" s="1208"/>
      <c r="E45" s="1196"/>
    </row>
    <row r="46" spans="1:5" ht="15">
      <c r="A46" s="1594"/>
      <c r="B46" s="1594"/>
      <c r="C46" s="1594"/>
      <c r="D46" s="1208"/>
      <c r="E46" s="1196"/>
    </row>
    <row r="47" spans="1:5" ht="15">
      <c r="A47" s="1594"/>
      <c r="B47" s="1594"/>
      <c r="C47" s="1594"/>
      <c r="D47" s="1208"/>
      <c r="E47" s="1196"/>
    </row>
    <row r="48" spans="1:5" ht="15">
      <c r="A48" s="1594"/>
      <c r="B48" s="1594"/>
      <c r="C48" s="1594"/>
      <c r="D48" s="1208"/>
      <c r="E48" s="1196"/>
    </row>
    <row r="49" spans="1:5" ht="15">
      <c r="A49" s="1594"/>
      <c r="B49" s="1594"/>
      <c r="C49" s="1594"/>
      <c r="D49" s="1208"/>
      <c r="E49" s="1196"/>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D263" sqref="D263"/>
    </sheetView>
  </sheetViews>
  <sheetFormatPr defaultColWidth="9.140625" defaultRowHeight="12.75"/>
  <cols>
    <col min="1" max="1" width="9.140625" style="1189"/>
    <col min="2" max="2" width="38.5703125" style="1189" customWidth="1"/>
    <col min="3" max="3" width="21.85546875" style="1189" customWidth="1"/>
    <col min="4" max="4" width="25.85546875" style="1189" customWidth="1"/>
    <col min="5" max="16384" width="9.140625" style="1189"/>
  </cols>
  <sheetData>
    <row r="1" spans="1:7" s="812" customFormat="1" ht="15.75">
      <c r="A1" s="943" t="s">
        <v>116</v>
      </c>
      <c r="G1" s="289"/>
    </row>
    <row r="2" spans="1:7" s="812" customFormat="1" ht="15.75">
      <c r="A2" s="943" t="s">
        <v>116</v>
      </c>
      <c r="G2" s="289"/>
    </row>
    <row r="3" spans="1:7" ht="19.5">
      <c r="A3" s="1196"/>
      <c r="B3" s="1595" t="s">
        <v>393</v>
      </c>
      <c r="C3" s="1595"/>
      <c r="D3" s="1595"/>
      <c r="E3" s="1595"/>
    </row>
    <row r="4" spans="1:7" ht="19.5">
      <c r="A4" s="1196"/>
      <c r="B4" s="1595" t="s">
        <v>786</v>
      </c>
      <c r="C4" s="1595"/>
      <c r="D4" s="1595"/>
      <c r="E4" s="1595"/>
    </row>
    <row r="5" spans="1:7" ht="19.5">
      <c r="A5" s="1196"/>
      <c r="B5" s="1595" t="s">
        <v>787</v>
      </c>
      <c r="C5" s="1595"/>
      <c r="D5" s="1595"/>
      <c r="E5" s="1595"/>
    </row>
    <row r="6" spans="1:7" ht="19.5">
      <c r="A6" s="1196"/>
      <c r="B6" s="1595" t="s">
        <v>796</v>
      </c>
      <c r="C6" s="1595"/>
      <c r="D6" s="1595"/>
      <c r="E6" s="1595"/>
    </row>
    <row r="7" spans="1:7" ht="19.5">
      <c r="A7" s="1196"/>
      <c r="B7" s="1595" t="s">
        <v>789</v>
      </c>
      <c r="C7" s="1595"/>
      <c r="D7" s="1595"/>
      <c r="E7" s="1595"/>
    </row>
    <row r="8" spans="1:7" ht="19.5">
      <c r="A8" s="1196"/>
      <c r="B8" s="1595" t="s">
        <v>797</v>
      </c>
      <c r="C8" s="1595"/>
      <c r="D8" s="1595"/>
      <c r="E8" s="1595"/>
    </row>
    <row r="9" spans="1:7" ht="15">
      <c r="A9" s="1196"/>
      <c r="B9" s="1190"/>
      <c r="C9" s="1190"/>
      <c r="D9" s="1192" t="s">
        <v>116</v>
      </c>
      <c r="E9" s="1196"/>
    </row>
    <row r="10" spans="1:7" ht="15.75">
      <c r="A10" s="1196"/>
      <c r="B10" s="1190"/>
      <c r="C10" s="1207" t="s">
        <v>401</v>
      </c>
      <c r="D10" s="1196"/>
      <c r="E10" s="1196"/>
    </row>
    <row r="11" spans="1:7" ht="15.75">
      <c r="A11" s="1196"/>
      <c r="B11" s="1192"/>
      <c r="C11" s="1207" t="s">
        <v>405</v>
      </c>
      <c r="D11" s="1207" t="s">
        <v>406</v>
      </c>
      <c r="E11" s="1207"/>
    </row>
    <row r="12" spans="1:7" ht="15.75" thickBot="1">
      <c r="A12" s="1196"/>
      <c r="B12" s="1198"/>
      <c r="C12" s="1190"/>
      <c r="D12" s="1209" t="s">
        <v>501</v>
      </c>
      <c r="E12" s="1196"/>
    </row>
    <row r="13" spans="1:7" ht="15">
      <c r="A13" s="1196"/>
      <c r="B13" s="1200" t="s">
        <v>408</v>
      </c>
      <c r="C13" s="1201"/>
      <c r="D13" s="284"/>
      <c r="E13" s="1196"/>
    </row>
    <row r="14" spans="1:7" ht="15">
      <c r="A14" s="1196"/>
      <c r="B14" s="1196"/>
      <c r="C14" s="1210"/>
      <c r="D14" s="283"/>
      <c r="E14" s="1211"/>
    </row>
    <row r="15" spans="1:7" ht="15">
      <c r="A15" s="1196"/>
      <c r="B15" s="1196" t="s">
        <v>798</v>
      </c>
      <c r="C15" s="1203">
        <v>350.1</v>
      </c>
      <c r="D15" s="283">
        <v>1.44E-2</v>
      </c>
      <c r="E15" s="1211"/>
    </row>
    <row r="16" spans="1:7" ht="15">
      <c r="A16" s="1196"/>
      <c r="B16" s="1196" t="s">
        <v>409</v>
      </c>
      <c r="C16" s="288">
        <v>352</v>
      </c>
      <c r="D16" s="283">
        <v>2.0799999999999999E-2</v>
      </c>
      <c r="E16" s="1211"/>
    </row>
    <row r="17" spans="1:5" ht="15">
      <c r="A17" s="1196"/>
      <c r="B17" s="1196" t="s">
        <v>410</v>
      </c>
      <c r="C17" s="288">
        <v>353</v>
      </c>
      <c r="D17" s="283">
        <v>2.1499999999999998E-2</v>
      </c>
      <c r="E17" s="1211"/>
    </row>
    <row r="18" spans="1:5" ht="15">
      <c r="A18" s="1196"/>
      <c r="B18" s="1196" t="s">
        <v>411</v>
      </c>
      <c r="C18" s="288">
        <v>354</v>
      </c>
      <c r="D18" s="283">
        <v>2.6100000000000002E-2</v>
      </c>
      <c r="E18" s="1211"/>
    </row>
    <row r="19" spans="1:5" ht="15">
      <c r="A19" s="1196"/>
      <c r="B19" s="1196" t="s">
        <v>412</v>
      </c>
      <c r="C19" s="288">
        <v>355</v>
      </c>
      <c r="D19" s="283">
        <v>3.95E-2</v>
      </c>
      <c r="E19" s="1211"/>
    </row>
    <row r="20" spans="1:5" ht="15">
      <c r="A20" s="1196"/>
      <c r="B20" s="1196" t="s">
        <v>782</v>
      </c>
      <c r="C20" s="288">
        <v>356</v>
      </c>
      <c r="D20" s="283">
        <v>2.9100000000000001E-2</v>
      </c>
      <c r="E20" s="1211"/>
    </row>
    <row r="21" spans="1:5" ht="15">
      <c r="A21" s="1196"/>
      <c r="B21" s="1196" t="s">
        <v>413</v>
      </c>
      <c r="C21" s="288">
        <v>357</v>
      </c>
      <c r="D21" s="283">
        <v>2.9899999999999999E-2</v>
      </c>
      <c r="E21" s="1211"/>
    </row>
    <row r="22" spans="1:5" ht="15">
      <c r="A22" s="1196"/>
      <c r="B22" s="1196" t="s">
        <v>414</v>
      </c>
      <c r="C22" s="288">
        <v>358</v>
      </c>
      <c r="D22" s="283">
        <v>2.6200000000000001E-2</v>
      </c>
      <c r="E22" s="1211"/>
    </row>
    <row r="23" spans="1:5" ht="15">
      <c r="A23" s="1196"/>
      <c r="B23" s="1196"/>
      <c r="C23" s="1190"/>
      <c r="D23" s="283"/>
      <c r="E23" s="1196"/>
    </row>
    <row r="24" spans="1:5" ht="15.75">
      <c r="A24" s="1196"/>
      <c r="B24" s="1196" t="s">
        <v>792</v>
      </c>
      <c r="C24" s="1204"/>
      <c r="D24" s="291"/>
      <c r="E24" s="1196"/>
    </row>
    <row r="25" spans="1:5" ht="15">
      <c r="A25" s="1196"/>
      <c r="B25" s="1596"/>
      <c r="C25" s="1596"/>
      <c r="D25" s="1596"/>
      <c r="E25" s="1596"/>
    </row>
    <row r="26" spans="1:5" ht="15">
      <c r="A26" s="1196"/>
      <c r="B26" s="1596" t="s">
        <v>799</v>
      </c>
      <c r="C26" s="1596"/>
      <c r="D26" s="1596"/>
      <c r="E26" s="1596"/>
    </row>
    <row r="27" spans="1:5" ht="15">
      <c r="A27" s="1196"/>
      <c r="B27" s="1596"/>
      <c r="C27" s="1596"/>
      <c r="D27" s="1596"/>
      <c r="E27" s="1596"/>
    </row>
    <row r="28" spans="1:5" ht="15.75">
      <c r="A28" s="1196"/>
      <c r="B28" s="1206" t="s">
        <v>795</v>
      </c>
      <c r="C28" s="1190"/>
      <c r="D28" s="283"/>
      <c r="E28" s="1196"/>
    </row>
    <row r="29" spans="1:5" ht="15">
      <c r="A29" s="1196"/>
      <c r="B29" s="1594" t="s">
        <v>833</v>
      </c>
      <c r="C29" s="1594"/>
      <c r="D29" s="1594"/>
      <c r="E29" s="1208"/>
    </row>
    <row r="30" spans="1:5" ht="15">
      <c r="A30" s="1196"/>
      <c r="B30" s="1594"/>
      <c r="C30" s="1594"/>
      <c r="D30" s="1594"/>
      <c r="E30" s="1208"/>
    </row>
    <row r="31" spans="1:5" ht="15">
      <c r="A31" s="1196"/>
      <c r="B31" s="1594"/>
      <c r="C31" s="1594"/>
      <c r="D31" s="1594"/>
      <c r="E31" s="1208"/>
    </row>
    <row r="32" spans="1:5" ht="15">
      <c r="A32" s="1196"/>
      <c r="B32" s="1594"/>
      <c r="C32" s="1594"/>
      <c r="D32" s="1594"/>
      <c r="E32" s="1208"/>
    </row>
    <row r="33" spans="1:5" ht="15">
      <c r="A33" s="1196"/>
      <c r="B33" s="1594"/>
      <c r="C33" s="1594"/>
      <c r="D33" s="1594"/>
      <c r="E33" s="120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10" zoomScale="60" zoomScaleNormal="70" workbookViewId="0">
      <selection activeCell="D263" sqref="D263"/>
    </sheetView>
  </sheetViews>
  <sheetFormatPr defaultColWidth="9.140625" defaultRowHeight="12.75"/>
  <cols>
    <col min="1" max="1" width="38.85546875" style="1189" customWidth="1"/>
    <col min="2" max="2" width="28.42578125" style="1189" customWidth="1"/>
    <col min="3" max="3" width="23.140625" style="1189" customWidth="1"/>
    <col min="4" max="16384" width="9.140625" style="1189"/>
  </cols>
  <sheetData>
    <row r="1" spans="1:7" s="812" customFormat="1" ht="15.75">
      <c r="A1" s="943" t="s">
        <v>116</v>
      </c>
      <c r="G1" s="289"/>
    </row>
    <row r="2" spans="1:7" s="812" customFormat="1" ht="15.75">
      <c r="A2" s="943" t="s">
        <v>116</v>
      </c>
      <c r="G2" s="289"/>
    </row>
    <row r="3" spans="1:7" ht="19.5">
      <c r="A3" s="1595" t="s">
        <v>393</v>
      </c>
      <c r="B3" s="1595"/>
      <c r="C3" s="1595"/>
      <c r="D3" s="1595"/>
    </row>
    <row r="4" spans="1:7" ht="19.5">
      <c r="A4" s="1595" t="s">
        <v>786</v>
      </c>
      <c r="B4" s="1595"/>
      <c r="C4" s="1595"/>
      <c r="D4" s="1595"/>
    </row>
    <row r="5" spans="1:7" ht="19.5">
      <c r="A5" s="1595" t="s">
        <v>787</v>
      </c>
      <c r="B5" s="1595"/>
      <c r="C5" s="1595"/>
      <c r="D5" s="1595"/>
    </row>
    <row r="6" spans="1:7" ht="19.5">
      <c r="A6" s="1595" t="s">
        <v>1246</v>
      </c>
      <c r="B6" s="1595"/>
      <c r="C6" s="1595"/>
      <c r="D6" s="1595"/>
    </row>
    <row r="7" spans="1:7" ht="19.5">
      <c r="A7" s="1595" t="s">
        <v>789</v>
      </c>
      <c r="B7" s="1595"/>
      <c r="C7" s="1595"/>
      <c r="D7" s="1595"/>
    </row>
    <row r="8" spans="1:7" ht="19.5">
      <c r="A8" s="1595" t="s">
        <v>800</v>
      </c>
      <c r="B8" s="1595"/>
      <c r="C8" s="1595"/>
      <c r="D8" s="1595"/>
    </row>
    <row r="9" spans="1:7" ht="15">
      <c r="A9" s="1190"/>
      <c r="B9" s="1190"/>
      <c r="C9" s="1192" t="s">
        <v>116</v>
      </c>
      <c r="D9" s="1196"/>
    </row>
    <row r="10" spans="1:7" ht="15.75">
      <c r="A10" s="1190"/>
      <c r="B10" s="1207" t="s">
        <v>401</v>
      </c>
      <c r="C10" s="1196"/>
      <c r="D10" s="1196"/>
    </row>
    <row r="11" spans="1:7" ht="15.75">
      <c r="A11" s="1192"/>
      <c r="B11" s="1207" t="s">
        <v>405</v>
      </c>
      <c r="C11" s="1207" t="s">
        <v>406</v>
      </c>
      <c r="D11" s="1207"/>
    </row>
    <row r="12" spans="1:7" ht="15.75" thickBot="1">
      <c r="A12" s="1198"/>
      <c r="B12" s="1190"/>
      <c r="C12" s="1209" t="s">
        <v>501</v>
      </c>
      <c r="D12" s="1196"/>
    </row>
    <row r="13" spans="1:7" ht="15">
      <c r="A13" s="1200" t="s">
        <v>408</v>
      </c>
      <c r="B13" s="1201"/>
      <c r="C13" s="284"/>
      <c r="D13" s="1196"/>
    </row>
    <row r="14" spans="1:7" ht="15">
      <c r="A14" s="1203" t="s">
        <v>409</v>
      </c>
      <c r="B14" s="288">
        <v>352</v>
      </c>
      <c r="C14" s="283">
        <v>2.0199999999999999E-2</v>
      </c>
      <c r="D14" s="1211"/>
    </row>
    <row r="15" spans="1:7" ht="15">
      <c r="A15" s="1203" t="s">
        <v>410</v>
      </c>
      <c r="B15" s="288">
        <v>353</v>
      </c>
      <c r="C15" s="283">
        <v>2.29E-2</v>
      </c>
      <c r="D15" s="1211"/>
    </row>
    <row r="16" spans="1:7" ht="15">
      <c r="A16" s="1210"/>
      <c r="B16" s="288"/>
      <c r="C16" s="283"/>
      <c r="D16" s="1211"/>
    </row>
    <row r="17" spans="1:4" ht="15">
      <c r="A17" s="1203" t="s">
        <v>801</v>
      </c>
      <c r="B17" s="288">
        <v>354</v>
      </c>
      <c r="C17" s="283">
        <v>1.8800000000000001E-2</v>
      </c>
      <c r="D17" s="1211"/>
    </row>
    <row r="18" spans="1:4" ht="15">
      <c r="A18" s="1203" t="s">
        <v>802</v>
      </c>
      <c r="B18" s="288">
        <v>354</v>
      </c>
      <c r="C18" s="283">
        <v>1.8800000000000001E-2</v>
      </c>
      <c r="D18" s="1211"/>
    </row>
    <row r="19" spans="1:4" ht="15">
      <c r="A19" s="1216"/>
      <c r="B19" s="1217"/>
      <c r="C19" s="335"/>
      <c r="D19" s="1211"/>
    </row>
    <row r="20" spans="1:4" ht="15">
      <c r="A20" s="1203" t="s">
        <v>803</v>
      </c>
      <c r="B20" s="288">
        <v>355</v>
      </c>
      <c r="C20" s="283">
        <v>3.5200000000000002E-2</v>
      </c>
      <c r="D20" s="1211"/>
    </row>
    <row r="21" spans="1:4" ht="15">
      <c r="A21" s="1203" t="s">
        <v>804</v>
      </c>
      <c r="B21" s="288">
        <v>355</v>
      </c>
      <c r="C21" s="283">
        <v>3.5200000000000002E-2</v>
      </c>
      <c r="D21" s="1211"/>
    </row>
    <row r="22" spans="1:4" ht="15">
      <c r="A22" s="1216"/>
      <c r="B22" s="288"/>
      <c r="C22" s="283"/>
      <c r="D22" s="1211"/>
    </row>
    <row r="23" spans="1:4" ht="15">
      <c r="A23" s="1203" t="s">
        <v>805</v>
      </c>
      <c r="B23" s="288">
        <v>356</v>
      </c>
      <c r="C23" s="283">
        <v>1.9099999999999999E-2</v>
      </c>
      <c r="D23" s="1211"/>
    </row>
    <row r="24" spans="1:4" ht="15">
      <c r="A24" s="1203" t="s">
        <v>806</v>
      </c>
      <c r="B24" s="288">
        <v>356</v>
      </c>
      <c r="C24" s="283">
        <v>1.9099999999999999E-2</v>
      </c>
      <c r="D24" s="1211"/>
    </row>
    <row r="25" spans="1:4" ht="15">
      <c r="A25" s="1203" t="s">
        <v>807</v>
      </c>
      <c r="B25" s="288">
        <v>356</v>
      </c>
      <c r="C25" s="283">
        <v>1.9099999999999999E-2</v>
      </c>
      <c r="D25" s="1211"/>
    </row>
    <row r="26" spans="1:4" ht="15">
      <c r="A26" s="1203" t="s">
        <v>808</v>
      </c>
      <c r="B26" s="288">
        <v>356</v>
      </c>
      <c r="C26" s="283">
        <v>1.9099999999999999E-2</v>
      </c>
      <c r="D26" s="1211"/>
    </row>
    <row r="27" spans="1:4" ht="15">
      <c r="A27" s="1203" t="s">
        <v>809</v>
      </c>
      <c r="B27" s="288">
        <v>356</v>
      </c>
      <c r="C27" s="283">
        <v>1.9099999999999999E-2</v>
      </c>
      <c r="D27" s="1211"/>
    </row>
    <row r="28" spans="1:4" ht="15">
      <c r="A28" s="1203"/>
      <c r="B28" s="288"/>
      <c r="C28" s="283"/>
      <c r="D28" s="1211"/>
    </row>
    <row r="29" spans="1:4" ht="15">
      <c r="A29" s="1203" t="s">
        <v>413</v>
      </c>
      <c r="B29" s="288">
        <v>357</v>
      </c>
      <c r="C29" s="283">
        <v>2.2599999999999999E-2</v>
      </c>
      <c r="D29" s="1211"/>
    </row>
    <row r="30" spans="1:4" ht="15">
      <c r="A30" s="1203" t="s">
        <v>414</v>
      </c>
      <c r="B30" s="288">
        <v>358</v>
      </c>
      <c r="C30" s="283">
        <v>3.27E-2</v>
      </c>
      <c r="D30" s="1211"/>
    </row>
    <row r="31" spans="1:4" ht="15">
      <c r="A31" s="1210"/>
      <c r="B31" s="1202"/>
      <c r="C31" s="335"/>
      <c r="D31" s="1196"/>
    </row>
    <row r="32" spans="1:4" ht="15.75" thickBot="1">
      <c r="A32" s="1218"/>
      <c r="B32" s="1219"/>
      <c r="C32" s="1220"/>
      <c r="D32" s="1196"/>
    </row>
    <row r="33" spans="1:4" ht="15">
      <c r="A33" s="1198"/>
      <c r="B33" s="1190"/>
      <c r="C33" s="283"/>
      <c r="D33" s="1196"/>
    </row>
    <row r="34" spans="1:4" ht="15">
      <c r="A34" s="1196"/>
      <c r="B34" s="1190"/>
      <c r="C34" s="283"/>
      <c r="D34" s="1196"/>
    </row>
    <row r="35" spans="1:4" ht="15.75">
      <c r="A35" s="1196" t="s">
        <v>792</v>
      </c>
      <c r="B35" s="1204"/>
      <c r="C35" s="291"/>
      <c r="D35" s="1196"/>
    </row>
    <row r="36" spans="1:4" ht="15">
      <c r="A36" s="1196"/>
      <c r="B36" s="1196"/>
      <c r="C36" s="1196"/>
      <c r="D36" s="1196"/>
    </row>
    <row r="37" spans="1:4" ht="15">
      <c r="A37" s="1596" t="s">
        <v>810</v>
      </c>
      <c r="B37" s="1596"/>
      <c r="C37" s="1596"/>
      <c r="D37" s="1596"/>
    </row>
    <row r="38" spans="1:4" ht="15">
      <c r="A38" s="1196" t="s">
        <v>811</v>
      </c>
      <c r="B38" s="1196"/>
      <c r="C38" s="1196"/>
      <c r="D38" s="1196"/>
    </row>
    <row r="39" spans="1:4" ht="15">
      <c r="A39" s="1196" t="s">
        <v>812</v>
      </c>
      <c r="B39" s="1196"/>
      <c r="C39" s="1196"/>
      <c r="D39" s="1196"/>
    </row>
    <row r="40" spans="1:4" ht="15">
      <c r="A40" s="1196"/>
      <c r="B40" s="1196"/>
      <c r="C40" s="1196"/>
      <c r="D40" s="1196"/>
    </row>
    <row r="41" spans="1:4" ht="15.75">
      <c r="A41" s="1206" t="s">
        <v>813</v>
      </c>
      <c r="B41" s="1190"/>
      <c r="C41" s="283"/>
      <c r="D41" s="1196"/>
    </row>
    <row r="42" spans="1:4">
      <c r="A42" s="1594" t="s">
        <v>833</v>
      </c>
      <c r="B42" s="1594"/>
      <c r="C42" s="1594"/>
      <c r="D42" s="1208"/>
    </row>
    <row r="43" spans="1:4">
      <c r="A43" s="1594"/>
      <c r="B43" s="1594"/>
      <c r="C43" s="1594"/>
      <c r="D43" s="1208"/>
    </row>
    <row r="44" spans="1:4">
      <c r="A44" s="1594"/>
      <c r="B44" s="1594"/>
      <c r="C44" s="1594"/>
      <c r="D44" s="1208"/>
    </row>
    <row r="45" spans="1:4">
      <c r="A45" s="1594"/>
      <c r="B45" s="1594"/>
      <c r="C45" s="1594"/>
      <c r="D45" s="1208"/>
    </row>
    <row r="46" spans="1:4">
      <c r="A46" s="1594"/>
      <c r="B46" s="1594"/>
      <c r="C46" s="1594"/>
      <c r="D46" s="1208"/>
    </row>
    <row r="47" spans="1:4" ht="15">
      <c r="A47" s="1196"/>
      <c r="B47" s="1196"/>
      <c r="C47" s="1196"/>
      <c r="D47" s="1196"/>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topLeftCell="A4" colorId="22" zoomScale="60" zoomScaleNormal="75" workbookViewId="0">
      <selection activeCell="D263" sqref="D263"/>
    </sheetView>
  </sheetViews>
  <sheetFormatPr defaultColWidth="14.5703125" defaultRowHeight="15"/>
  <cols>
    <col min="1" max="1" width="41.5703125" style="1196" customWidth="1"/>
    <col min="2" max="2" width="33.140625" style="1196" customWidth="1"/>
    <col min="3" max="4" width="31.85546875" style="1196" customWidth="1"/>
    <col min="5" max="5" width="16.5703125" style="1196" customWidth="1"/>
    <col min="6" max="6" width="14.5703125" style="1196" customWidth="1"/>
    <col min="7" max="7" width="4.85546875" style="1196" customWidth="1"/>
    <col min="8" max="8" width="14.5703125" style="1197" customWidth="1"/>
    <col min="9" max="9" width="18.42578125" style="1196" customWidth="1"/>
    <col min="10" max="10" width="15.5703125" style="1196" customWidth="1"/>
    <col min="11" max="11" width="6.140625" style="1196" customWidth="1"/>
    <col min="12" max="12" width="14.5703125" style="1196" customWidth="1"/>
    <col min="13" max="13" width="16.140625" style="1196" customWidth="1"/>
    <col min="14" max="14" width="14.5703125" style="1196" customWidth="1"/>
    <col min="15" max="15" width="4.85546875" style="1196" customWidth="1"/>
    <col min="16" max="16" width="18.5703125" style="1196" customWidth="1"/>
    <col min="17" max="16384" width="14.5703125" style="1196"/>
  </cols>
  <sheetData>
    <row r="1" spans="1:7" s="812" customFormat="1" ht="15.75">
      <c r="A1" s="943" t="s">
        <v>116</v>
      </c>
      <c r="G1" s="289"/>
    </row>
    <row r="2" spans="1:7" s="812" customFormat="1" ht="15.75">
      <c r="A2" s="943" t="s">
        <v>116</v>
      </c>
      <c r="G2" s="289"/>
    </row>
    <row r="3" spans="1:7" ht="19.5">
      <c r="B3" s="1595" t="s">
        <v>393</v>
      </c>
      <c r="C3" s="1595"/>
      <c r="D3" s="1595"/>
      <c r="E3" s="1595"/>
    </row>
    <row r="4" spans="1:7" ht="19.5">
      <c r="B4" s="1595" t="s">
        <v>786</v>
      </c>
      <c r="C4" s="1595"/>
      <c r="D4" s="1595"/>
      <c r="E4" s="1595"/>
    </row>
    <row r="5" spans="1:7" ht="19.5">
      <c r="B5" s="1595" t="s">
        <v>787</v>
      </c>
      <c r="C5" s="1595"/>
      <c r="D5" s="1595"/>
      <c r="E5" s="1595"/>
    </row>
    <row r="6" spans="1:7" ht="19.5">
      <c r="B6" s="1595" t="s">
        <v>1247</v>
      </c>
      <c r="C6" s="1595"/>
      <c r="D6" s="1595"/>
      <c r="E6" s="1595"/>
    </row>
    <row r="7" spans="1:7" ht="19.5">
      <c r="B7" s="1595" t="s">
        <v>789</v>
      </c>
      <c r="C7" s="1595"/>
      <c r="D7" s="1595"/>
      <c r="E7" s="1595"/>
    </row>
    <row r="8" spans="1:7" ht="19.5">
      <c r="B8" s="1595" t="s">
        <v>814</v>
      </c>
      <c r="C8" s="1595"/>
      <c r="D8" s="1595"/>
      <c r="E8" s="1595"/>
    </row>
    <row r="9" spans="1:7">
      <c r="B9" s="1190"/>
      <c r="C9" s="1190"/>
      <c r="D9" s="1192" t="s">
        <v>116</v>
      </c>
    </row>
    <row r="10" spans="1:7">
      <c r="A10" s="1594"/>
      <c r="B10" s="1594"/>
      <c r="C10" s="1594"/>
      <c r="D10" s="1208"/>
    </row>
    <row r="11" spans="1:7" ht="15.75">
      <c r="A11" s="1190"/>
      <c r="B11" s="1207" t="s">
        <v>401</v>
      </c>
    </row>
    <row r="12" spans="1:7" ht="15.75">
      <c r="A12" s="1192"/>
      <c r="B12" s="1207" t="s">
        <v>405</v>
      </c>
      <c r="C12" s="1207" t="s">
        <v>406</v>
      </c>
      <c r="D12" s="1207"/>
    </row>
    <row r="13" spans="1:7" ht="15.75" thickBot="1">
      <c r="C13" s="1211" t="s">
        <v>501</v>
      </c>
    </row>
    <row r="14" spans="1:7">
      <c r="A14" s="1200" t="s">
        <v>408</v>
      </c>
      <c r="B14" s="1201"/>
      <c r="C14" s="284"/>
    </row>
    <row r="15" spans="1:7">
      <c r="A15" s="1210"/>
      <c r="D15" s="1211"/>
    </row>
    <row r="16" spans="1:7">
      <c r="A16" s="1203" t="s">
        <v>409</v>
      </c>
      <c r="B16" s="288">
        <v>352</v>
      </c>
      <c r="C16" s="283">
        <v>1.15E-2</v>
      </c>
      <c r="D16" s="1211"/>
    </row>
    <row r="17" spans="1:4">
      <c r="A17" s="1216" t="s">
        <v>410</v>
      </c>
      <c r="B17" s="288">
        <v>353</v>
      </c>
      <c r="C17" s="283">
        <v>2.2200000000000001E-2</v>
      </c>
      <c r="D17" s="1211"/>
    </row>
    <row r="18" spans="1:4">
      <c r="A18" s="1216" t="s">
        <v>411</v>
      </c>
      <c r="B18" s="288">
        <v>354</v>
      </c>
      <c r="C18" s="283">
        <v>2.6499999999999999E-2</v>
      </c>
      <c r="D18" s="1211"/>
    </row>
    <row r="19" spans="1:4">
      <c r="A19" s="1216" t="s">
        <v>412</v>
      </c>
      <c r="B19" s="288">
        <v>355</v>
      </c>
      <c r="C19" s="283">
        <v>2.41E-2</v>
      </c>
      <c r="D19" s="1211"/>
    </row>
    <row r="20" spans="1:4">
      <c r="A20" s="1216" t="s">
        <v>782</v>
      </c>
      <c r="B20" s="288">
        <v>356</v>
      </c>
      <c r="C20" s="283">
        <v>1.32E-2</v>
      </c>
      <c r="D20" s="1211"/>
    </row>
    <row r="21" spans="1:4">
      <c r="A21" s="1216" t="s">
        <v>413</v>
      </c>
      <c r="B21" s="288">
        <v>351</v>
      </c>
      <c r="C21" s="283">
        <v>9.9400000000000002E-2</v>
      </c>
      <c r="D21" s="1211"/>
    </row>
    <row r="22" spans="1:4">
      <c r="A22" s="1216" t="s">
        <v>414</v>
      </c>
      <c r="B22" s="288">
        <v>351</v>
      </c>
      <c r="C22" s="283">
        <v>0.13980000000000001</v>
      </c>
      <c r="D22" s="1211"/>
    </row>
    <row r="23" spans="1:4">
      <c r="A23" s="1216" t="s">
        <v>783</v>
      </c>
      <c r="B23" s="288">
        <v>359</v>
      </c>
      <c r="C23" s="1209" t="s">
        <v>815</v>
      </c>
      <c r="D23" s="1211"/>
    </row>
    <row r="24" spans="1:4" ht="15.75" thickBot="1">
      <c r="A24" s="1216"/>
      <c r="B24" s="288"/>
      <c r="C24" s="283"/>
      <c r="D24" s="1211"/>
    </row>
    <row r="25" spans="1:4">
      <c r="A25" s="1200" t="s">
        <v>817</v>
      </c>
      <c r="B25" s="1201"/>
      <c r="C25" s="284"/>
      <c r="D25" s="1211"/>
    </row>
    <row r="26" spans="1:4" ht="15" customHeight="1">
      <c r="A26" s="1216"/>
      <c r="B26" s="288"/>
      <c r="C26" s="283"/>
      <c r="D26" s="1211"/>
    </row>
    <row r="27" spans="1:4">
      <c r="A27" s="1216" t="s">
        <v>818</v>
      </c>
      <c r="B27" s="288">
        <v>390</v>
      </c>
      <c r="C27" s="283">
        <v>1.0800000000000001E-2</v>
      </c>
      <c r="D27" s="1211"/>
    </row>
    <row r="28" spans="1:4">
      <c r="A28" s="1216" t="s">
        <v>819</v>
      </c>
      <c r="B28" s="288">
        <v>391</v>
      </c>
      <c r="C28" s="283">
        <v>2.1299999999999999E-2</v>
      </c>
      <c r="D28" s="1211"/>
    </row>
    <row r="29" spans="1:4">
      <c r="A29" s="1216" t="s">
        <v>820</v>
      </c>
      <c r="B29" s="288">
        <v>393</v>
      </c>
      <c r="C29" s="283">
        <v>1.78E-2</v>
      </c>
      <c r="D29" s="1211"/>
    </row>
    <row r="30" spans="1:4" ht="15" customHeight="1">
      <c r="A30" s="1216" t="s">
        <v>821</v>
      </c>
      <c r="B30" s="288">
        <v>394</v>
      </c>
      <c r="C30" s="283">
        <v>1.6500000000000001E-2</v>
      </c>
      <c r="D30" s="1211"/>
    </row>
    <row r="31" spans="1:4">
      <c r="A31" s="1216" t="s">
        <v>823</v>
      </c>
      <c r="B31" s="288">
        <v>397</v>
      </c>
      <c r="C31" s="283">
        <v>5.0900000000000001E-2</v>
      </c>
      <c r="D31" s="1211"/>
    </row>
    <row r="32" spans="1:4">
      <c r="A32" s="1216" t="s">
        <v>824</v>
      </c>
      <c r="B32" s="288">
        <v>398</v>
      </c>
      <c r="C32" s="283">
        <v>2.76E-2</v>
      </c>
      <c r="D32" s="1211"/>
    </row>
    <row r="33" spans="1:4">
      <c r="A33" s="1216"/>
      <c r="B33" s="288"/>
      <c r="C33" s="283"/>
      <c r="D33" s="1211"/>
    </row>
    <row r="34" spans="1:4">
      <c r="A34" s="1216"/>
      <c r="B34" s="288"/>
      <c r="C34" s="283"/>
      <c r="D34" s="1211"/>
    </row>
    <row r="35" spans="1:4">
      <c r="A35" s="1216"/>
      <c r="B35" s="288"/>
      <c r="C35" s="283"/>
      <c r="D35" s="1211"/>
    </row>
    <row r="36" spans="1:4">
      <c r="A36" s="1210"/>
      <c r="B36" s="1202"/>
      <c r="C36" s="335"/>
    </row>
    <row r="37" spans="1:4">
      <c r="A37" s="1596" t="s">
        <v>816</v>
      </c>
      <c r="B37" s="1596"/>
      <c r="C37" s="1596"/>
      <c r="D37" s="1596"/>
    </row>
    <row r="38" spans="1:4" ht="15.75">
      <c r="B38" s="1204"/>
      <c r="C38" s="291"/>
    </row>
    <row r="39" spans="1:4">
      <c r="A39" s="1596"/>
      <c r="B39" s="1596"/>
      <c r="C39" s="1596"/>
      <c r="D39" s="1596"/>
    </row>
    <row r="40" spans="1:4" ht="15.75">
      <c r="A40" s="1206" t="s">
        <v>813</v>
      </c>
      <c r="B40" s="1190"/>
      <c r="C40" s="283"/>
    </row>
    <row r="41" spans="1:4">
      <c r="A41" s="1594" t="s">
        <v>833</v>
      </c>
      <c r="B41" s="1594"/>
      <c r="C41" s="1594"/>
      <c r="D41" s="1208"/>
    </row>
    <row r="42" spans="1:4">
      <c r="A42" s="1594"/>
      <c r="B42" s="1594"/>
      <c r="C42" s="1594"/>
      <c r="D42" s="1208"/>
    </row>
    <row r="43" spans="1:4">
      <c r="A43" s="1594"/>
      <c r="B43" s="1594"/>
      <c r="C43" s="1594"/>
      <c r="D43" s="1208"/>
    </row>
    <row r="44" spans="1:4">
      <c r="A44" s="1594"/>
      <c r="B44" s="1594"/>
      <c r="C44" s="1594"/>
      <c r="D44" s="1208"/>
    </row>
    <row r="45" spans="1:4">
      <c r="A45" s="1594"/>
      <c r="B45" s="1594"/>
      <c r="C45" s="1594"/>
      <c r="D45" s="1208"/>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D263" sqref="D263"/>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17.85546875" style="357" customWidth="1"/>
    <col min="9" max="9" width="18.140625" style="357" customWidth="1"/>
    <col min="10" max="10" width="8.85546875" style="357"/>
    <col min="11" max="11" width="18.140625" style="357" customWidth="1"/>
    <col min="12" max="16384" width="8.85546875" style="357"/>
  </cols>
  <sheetData>
    <row r="1" spans="1:11" ht="15.75">
      <c r="A1" s="943" t="s">
        <v>116</v>
      </c>
    </row>
    <row r="2" spans="1:11" ht="15.75">
      <c r="A2" s="943" t="s">
        <v>116</v>
      </c>
    </row>
    <row r="3" spans="1:11" ht="15.75">
      <c r="A3" s="1597" t="s">
        <v>389</v>
      </c>
      <c r="B3" s="1597"/>
      <c r="C3" s="1597"/>
      <c r="D3" s="1597"/>
      <c r="E3" s="1597"/>
      <c r="F3" s="1597"/>
      <c r="G3" s="1597"/>
      <c r="H3" s="1597"/>
      <c r="I3" s="1597"/>
      <c r="J3" s="1597"/>
      <c r="K3" s="1597"/>
    </row>
    <row r="4" spans="1:11" ht="15.75">
      <c r="A4" s="1598" t="s">
        <v>569</v>
      </c>
      <c r="B4" s="1598"/>
      <c r="C4" s="1598"/>
      <c r="D4" s="1598"/>
      <c r="E4" s="1598"/>
      <c r="F4" s="1598"/>
      <c r="G4" s="1598"/>
      <c r="H4" s="1598"/>
      <c r="I4" s="1598"/>
      <c r="J4" s="1598"/>
      <c r="K4" s="1598"/>
    </row>
    <row r="5" spans="1:11" ht="15.75">
      <c r="A5" s="1598" t="s">
        <v>570</v>
      </c>
      <c r="B5" s="1598"/>
      <c r="C5" s="1598"/>
      <c r="D5" s="1598"/>
      <c r="E5" s="1598"/>
      <c r="F5" s="1598"/>
      <c r="G5" s="1598"/>
      <c r="H5" s="1598"/>
      <c r="I5" s="1598"/>
      <c r="J5" s="1598"/>
      <c r="K5" s="1598"/>
    </row>
    <row r="6" spans="1:11" ht="15.75">
      <c r="A6" s="545"/>
      <c r="B6" s="545"/>
      <c r="C6" s="545"/>
      <c r="D6" s="1598"/>
      <c r="E6" s="1598"/>
      <c r="F6" s="1598"/>
      <c r="G6" s="1598"/>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6"/>
      <c r="B9" s="837"/>
      <c r="C9" s="837"/>
      <c r="D9" s="837"/>
      <c r="E9" s="837"/>
      <c r="F9" s="837"/>
      <c r="G9" s="837"/>
      <c r="H9" s="837"/>
      <c r="I9" s="837"/>
      <c r="J9" s="837"/>
      <c r="K9" s="837"/>
    </row>
    <row r="10" spans="1:11" ht="47.25">
      <c r="A10" s="838" t="str">
        <f>"Reconciliation Revenue Requirement For Year 2018 Available May 25, 2019"</f>
        <v>Reconciliation Revenue Requirement For Year 2018 Available May 25, 2019</v>
      </c>
      <c r="B10" s="837"/>
      <c r="C10" s="837"/>
      <c r="D10" s="838" t="s">
        <v>1249</v>
      </c>
      <c r="E10" s="837"/>
      <c r="F10" s="837"/>
      <c r="G10" s="545"/>
      <c r="H10" s="838" t="s">
        <v>550</v>
      </c>
      <c r="I10" s="545"/>
      <c r="J10" s="545"/>
      <c r="K10" s="545"/>
    </row>
    <row r="11" spans="1:11" ht="15.75">
      <c r="A11" s="839" t="s">
        <v>116</v>
      </c>
      <c r="B11" s="837"/>
      <c r="C11" s="837"/>
      <c r="D11" s="839"/>
      <c r="E11" s="837"/>
      <c r="F11" s="837"/>
      <c r="G11" s="545"/>
      <c r="H11" s="840"/>
      <c r="I11" s="545"/>
      <c r="J11" s="545"/>
      <c r="K11" s="545"/>
    </row>
    <row r="12" spans="1:11" ht="16.5" thickBot="1">
      <c r="A12" s="923">
        <v>0</v>
      </c>
      <c r="B12" s="841" t="str">
        <f>"-"</f>
        <v>-</v>
      </c>
      <c r="C12" s="842"/>
      <c r="D12" s="923">
        <v>0</v>
      </c>
      <c r="E12" s="843"/>
      <c r="F12" s="844" t="str">
        <f>"="</f>
        <v>=</v>
      </c>
      <c r="G12" s="845"/>
      <c r="H12" s="846">
        <f>IF(A12=0,0,D12-A12)</f>
        <v>0</v>
      </c>
      <c r="I12" s="545"/>
      <c r="J12" s="545"/>
      <c r="K12" s="545"/>
    </row>
    <row r="13" spans="1:11" ht="15.75">
      <c r="A13" s="847"/>
      <c r="B13" s="848"/>
      <c r="C13" s="848"/>
      <c r="D13" s="847"/>
      <c r="E13" s="847"/>
      <c r="F13" s="848"/>
      <c r="G13" s="847"/>
      <c r="H13" s="545"/>
      <c r="I13" s="545"/>
      <c r="J13" s="545"/>
      <c r="K13" s="545"/>
    </row>
    <row r="14" spans="1:11" ht="16.5" thickBot="1">
      <c r="A14" s="849"/>
      <c r="B14" s="850"/>
      <c r="C14" s="850"/>
      <c r="D14" s="849"/>
      <c r="E14" s="849"/>
      <c r="F14" s="850"/>
      <c r="G14" s="849"/>
      <c r="H14" s="851"/>
      <c r="I14" s="851"/>
      <c r="J14" s="851"/>
      <c r="K14" s="851"/>
    </row>
    <row r="15" spans="1:11" ht="15.75">
      <c r="A15" s="852"/>
      <c r="B15" s="848"/>
      <c r="C15" s="848"/>
      <c r="D15" s="847"/>
      <c r="E15" s="847"/>
      <c r="F15" s="848"/>
      <c r="G15" s="847"/>
      <c r="H15" s="545"/>
      <c r="I15" s="545"/>
      <c r="J15" s="545"/>
      <c r="K15" s="545"/>
    </row>
    <row r="16" spans="1:11" ht="47.25">
      <c r="A16" s="853" t="s">
        <v>551</v>
      </c>
      <c r="B16" s="848"/>
      <c r="C16" s="848"/>
      <c r="D16" s="854" t="s">
        <v>552</v>
      </c>
      <c r="E16" s="847"/>
      <c r="F16" s="854" t="s">
        <v>553</v>
      </c>
      <c r="G16" s="855" t="s">
        <v>554</v>
      </c>
      <c r="H16" s="856" t="s">
        <v>555</v>
      </c>
      <c r="I16" s="854" t="s">
        <v>556</v>
      </c>
      <c r="J16" s="857"/>
      <c r="K16" s="854" t="s">
        <v>557</v>
      </c>
    </row>
    <row r="17" spans="1:11" ht="15.75">
      <c r="A17" s="853" t="s">
        <v>558</v>
      </c>
      <c r="B17" s="848"/>
      <c r="C17" s="848"/>
      <c r="D17" s="545"/>
      <c r="E17" s="858"/>
      <c r="F17" s="1422">
        <v>4.0949999999999997E-3</v>
      </c>
      <c r="H17" s="545"/>
      <c r="I17" s="545"/>
      <c r="J17" s="545"/>
      <c r="K17" s="545"/>
    </row>
    <row r="18" spans="1:11" ht="15.75">
      <c r="A18" s="853"/>
      <c r="B18" s="848"/>
      <c r="C18" s="848"/>
      <c r="D18" s="545"/>
      <c r="E18" s="858"/>
      <c r="F18" s="858"/>
      <c r="G18" s="847"/>
      <c r="H18" s="545"/>
      <c r="I18" s="545"/>
      <c r="J18" s="545"/>
      <c r="K18" s="545"/>
    </row>
    <row r="19" spans="1:11" ht="15.75">
      <c r="A19" s="853" t="s">
        <v>1250</v>
      </c>
      <c r="B19" s="848"/>
      <c r="C19" s="848"/>
      <c r="D19" s="545"/>
      <c r="E19" s="858"/>
      <c r="F19" s="858"/>
      <c r="G19" s="847"/>
      <c r="H19" s="545"/>
      <c r="I19" s="545"/>
      <c r="J19" s="545"/>
      <c r="K19" s="545"/>
    </row>
    <row r="20" spans="1:11" ht="15.75">
      <c r="A20" s="859" t="s">
        <v>116</v>
      </c>
      <c r="B20" s="848"/>
      <c r="C20" s="848"/>
      <c r="D20" s="848"/>
      <c r="E20" s="848"/>
      <c r="F20" s="848" t="s">
        <v>116</v>
      </c>
      <c r="G20" s="545"/>
      <c r="H20" s="545"/>
      <c r="I20" s="545"/>
      <c r="J20" s="545"/>
      <c r="K20" s="545"/>
    </row>
    <row r="21" spans="1:11" ht="15.75">
      <c r="A21" s="860"/>
      <c r="B21" s="848"/>
      <c r="C21" s="848"/>
      <c r="D21" s="848"/>
      <c r="E21" s="848"/>
      <c r="F21" s="545"/>
      <c r="G21" s="545"/>
      <c r="H21" s="855"/>
      <c r="I21" s="848"/>
      <c r="J21" s="848"/>
      <c r="K21" s="848"/>
    </row>
    <row r="22" spans="1:11" ht="15.75">
      <c r="A22" s="860" t="s">
        <v>559</v>
      </c>
      <c r="B22" s="848"/>
      <c r="C22" s="848"/>
      <c r="D22" s="848"/>
      <c r="E22" s="848"/>
      <c r="F22" s="545"/>
      <c r="G22" s="545"/>
      <c r="H22" s="855" t="s">
        <v>560</v>
      </c>
      <c r="I22" s="848"/>
      <c r="J22" s="848"/>
      <c r="K22" s="848"/>
    </row>
    <row r="23" spans="1:11" ht="15.75">
      <c r="A23" s="837" t="s">
        <v>187</v>
      </c>
      <c r="B23" s="837" t="str">
        <f>"Year 2018"</f>
        <v>Year 2018</v>
      </c>
      <c r="C23" s="837"/>
      <c r="D23" s="861">
        <f>H12/12</f>
        <v>0</v>
      </c>
      <c r="E23" s="861"/>
      <c r="F23" s="862">
        <f>+F17</f>
        <v>4.0949999999999997E-3</v>
      </c>
      <c r="G23" s="863">
        <v>12</v>
      </c>
      <c r="H23" s="861">
        <f>F23*D23*G23*-1</f>
        <v>0</v>
      </c>
      <c r="I23" s="861"/>
      <c r="J23" s="861"/>
      <c r="K23" s="861">
        <f>(-H23+D23)*-1</f>
        <v>0</v>
      </c>
    </row>
    <row r="24" spans="1:11" ht="15.75">
      <c r="A24" s="837" t="s">
        <v>561</v>
      </c>
      <c r="B24" s="837" t="str">
        <f>B23</f>
        <v>Year 2018</v>
      </c>
      <c r="C24" s="837"/>
      <c r="D24" s="861">
        <f>+D23</f>
        <v>0</v>
      </c>
      <c r="E24" s="861"/>
      <c r="F24" s="862">
        <f>+F23</f>
        <v>4.0949999999999997E-3</v>
      </c>
      <c r="G24" s="863">
        <f t="shared" ref="G24:G34" si="0">+G23-1</f>
        <v>11</v>
      </c>
      <c r="H24" s="861">
        <f t="shared" ref="H24:H34" si="1">F24*D24*G24*-1</f>
        <v>0</v>
      </c>
      <c r="I24" s="861"/>
      <c r="J24" s="861"/>
      <c r="K24" s="861">
        <f t="shared" ref="K24:K34" si="2">(-H24+D24)*-1</f>
        <v>0</v>
      </c>
    </row>
    <row r="25" spans="1:11" ht="15.75">
      <c r="A25" s="837" t="s">
        <v>188</v>
      </c>
      <c r="B25" s="837" t="str">
        <f t="shared" ref="B25:B34" si="3">B24</f>
        <v>Year 2018</v>
      </c>
      <c r="C25" s="837"/>
      <c r="D25" s="861">
        <f t="shared" ref="D25:D34" si="4">+D24</f>
        <v>0</v>
      </c>
      <c r="E25" s="861"/>
      <c r="F25" s="862">
        <f t="shared" ref="F25:F34" si="5">+F24</f>
        <v>4.0949999999999997E-3</v>
      </c>
      <c r="G25" s="863">
        <f t="shared" si="0"/>
        <v>10</v>
      </c>
      <c r="H25" s="861">
        <f t="shared" si="1"/>
        <v>0</v>
      </c>
      <c r="I25" s="861"/>
      <c r="J25" s="861"/>
      <c r="K25" s="861">
        <f t="shared" si="2"/>
        <v>0</v>
      </c>
    </row>
    <row r="26" spans="1:11" ht="15.75">
      <c r="A26" s="837" t="s">
        <v>189</v>
      </c>
      <c r="B26" s="837" t="str">
        <f t="shared" si="3"/>
        <v>Year 2018</v>
      </c>
      <c r="C26" s="837"/>
      <c r="D26" s="861">
        <f t="shared" si="4"/>
        <v>0</v>
      </c>
      <c r="E26" s="861"/>
      <c r="F26" s="862">
        <f t="shared" si="5"/>
        <v>4.0949999999999997E-3</v>
      </c>
      <c r="G26" s="863">
        <f t="shared" si="0"/>
        <v>9</v>
      </c>
      <c r="H26" s="861">
        <f t="shared" si="1"/>
        <v>0</v>
      </c>
      <c r="I26" s="861"/>
      <c r="J26" s="861"/>
      <c r="K26" s="861">
        <f t="shared" si="2"/>
        <v>0</v>
      </c>
    </row>
    <row r="27" spans="1:11" ht="15.75">
      <c r="A27" s="837" t="s">
        <v>190</v>
      </c>
      <c r="B27" s="837" t="str">
        <f t="shared" si="3"/>
        <v>Year 2018</v>
      </c>
      <c r="C27" s="837"/>
      <c r="D27" s="861">
        <f t="shared" si="4"/>
        <v>0</v>
      </c>
      <c r="E27" s="861"/>
      <c r="F27" s="862">
        <f t="shared" si="5"/>
        <v>4.0949999999999997E-3</v>
      </c>
      <c r="G27" s="863">
        <f t="shared" si="0"/>
        <v>8</v>
      </c>
      <c r="H27" s="861">
        <f t="shared" si="1"/>
        <v>0</v>
      </c>
      <c r="I27" s="861"/>
      <c r="J27" s="861"/>
      <c r="K27" s="861">
        <f t="shared" si="2"/>
        <v>0</v>
      </c>
    </row>
    <row r="28" spans="1:11" ht="15.75">
      <c r="A28" s="837" t="s">
        <v>384</v>
      </c>
      <c r="B28" s="837" t="str">
        <f t="shared" si="3"/>
        <v>Year 2018</v>
      </c>
      <c r="C28" s="837"/>
      <c r="D28" s="861">
        <f t="shared" si="4"/>
        <v>0</v>
      </c>
      <c r="E28" s="861"/>
      <c r="F28" s="862">
        <f t="shared" si="5"/>
        <v>4.0949999999999997E-3</v>
      </c>
      <c r="G28" s="863">
        <f t="shared" si="0"/>
        <v>7</v>
      </c>
      <c r="H28" s="861">
        <f t="shared" si="1"/>
        <v>0</v>
      </c>
      <c r="I28" s="861"/>
      <c r="J28" s="861"/>
      <c r="K28" s="861">
        <f t="shared" si="2"/>
        <v>0</v>
      </c>
    </row>
    <row r="29" spans="1:11" ht="15.75">
      <c r="A29" s="837" t="s">
        <v>191</v>
      </c>
      <c r="B29" s="837" t="str">
        <f t="shared" si="3"/>
        <v>Year 2018</v>
      </c>
      <c r="C29" s="837"/>
      <c r="D29" s="861">
        <f t="shared" si="4"/>
        <v>0</v>
      </c>
      <c r="E29" s="861"/>
      <c r="F29" s="862">
        <f t="shared" si="5"/>
        <v>4.0949999999999997E-3</v>
      </c>
      <c r="G29" s="863">
        <f t="shared" si="0"/>
        <v>6</v>
      </c>
      <c r="H29" s="861">
        <f t="shared" si="1"/>
        <v>0</v>
      </c>
      <c r="I29" s="861"/>
      <c r="J29" s="861"/>
      <c r="K29" s="861">
        <f t="shared" si="2"/>
        <v>0</v>
      </c>
    </row>
    <row r="30" spans="1:11" ht="15.75">
      <c r="A30" s="837" t="s">
        <v>192</v>
      </c>
      <c r="B30" s="837" t="str">
        <f t="shared" si="3"/>
        <v>Year 2018</v>
      </c>
      <c r="C30" s="837"/>
      <c r="D30" s="861">
        <f t="shared" si="4"/>
        <v>0</v>
      </c>
      <c r="E30" s="861"/>
      <c r="F30" s="862">
        <f t="shared" si="5"/>
        <v>4.0949999999999997E-3</v>
      </c>
      <c r="G30" s="863">
        <f t="shared" si="0"/>
        <v>5</v>
      </c>
      <c r="H30" s="861">
        <f t="shared" si="1"/>
        <v>0</v>
      </c>
      <c r="I30" s="861"/>
      <c r="J30" s="861"/>
      <c r="K30" s="861">
        <f t="shared" si="2"/>
        <v>0</v>
      </c>
    </row>
    <row r="31" spans="1:11" ht="15.75">
      <c r="A31" s="837" t="s">
        <v>194</v>
      </c>
      <c r="B31" s="837" t="str">
        <f t="shared" si="3"/>
        <v>Year 2018</v>
      </c>
      <c r="C31" s="837"/>
      <c r="D31" s="861">
        <f t="shared" si="4"/>
        <v>0</v>
      </c>
      <c r="E31" s="861"/>
      <c r="F31" s="862">
        <f t="shared" si="5"/>
        <v>4.0949999999999997E-3</v>
      </c>
      <c r="G31" s="863">
        <f t="shared" si="0"/>
        <v>4</v>
      </c>
      <c r="H31" s="861">
        <f t="shared" si="1"/>
        <v>0</v>
      </c>
      <c r="I31" s="861"/>
      <c r="J31" s="861"/>
      <c r="K31" s="861">
        <f t="shared" si="2"/>
        <v>0</v>
      </c>
    </row>
    <row r="32" spans="1:11" ht="15.75">
      <c r="A32" s="837" t="s">
        <v>562</v>
      </c>
      <c r="B32" s="837" t="str">
        <f t="shared" si="3"/>
        <v>Year 2018</v>
      </c>
      <c r="C32" s="837"/>
      <c r="D32" s="861">
        <f t="shared" si="4"/>
        <v>0</v>
      </c>
      <c r="E32" s="861"/>
      <c r="F32" s="862">
        <f t="shared" si="5"/>
        <v>4.0949999999999997E-3</v>
      </c>
      <c r="G32" s="863">
        <f t="shared" si="0"/>
        <v>3</v>
      </c>
      <c r="H32" s="861">
        <f t="shared" si="1"/>
        <v>0</v>
      </c>
      <c r="I32" s="861"/>
      <c r="J32" s="861"/>
      <c r="K32" s="861">
        <f t="shared" si="2"/>
        <v>0</v>
      </c>
    </row>
    <row r="33" spans="1:11" ht="15.75">
      <c r="A33" s="837" t="s">
        <v>563</v>
      </c>
      <c r="B33" s="837" t="str">
        <f t="shared" si="3"/>
        <v>Year 2018</v>
      </c>
      <c r="C33" s="837"/>
      <c r="D33" s="861">
        <f t="shared" si="4"/>
        <v>0</v>
      </c>
      <c r="E33" s="861"/>
      <c r="F33" s="862">
        <f t="shared" si="5"/>
        <v>4.0949999999999997E-3</v>
      </c>
      <c r="G33" s="863">
        <f t="shared" si="0"/>
        <v>2</v>
      </c>
      <c r="H33" s="861">
        <f t="shared" si="1"/>
        <v>0</v>
      </c>
      <c r="I33" s="861"/>
      <c r="J33" s="861"/>
      <c r="K33" s="861">
        <f t="shared" si="2"/>
        <v>0</v>
      </c>
    </row>
    <row r="34" spans="1:11" ht="15.75">
      <c r="A34" s="837" t="s">
        <v>193</v>
      </c>
      <c r="B34" s="837" t="str">
        <f t="shared" si="3"/>
        <v>Year 2018</v>
      </c>
      <c r="C34" s="837"/>
      <c r="D34" s="861">
        <f t="shared" si="4"/>
        <v>0</v>
      </c>
      <c r="E34" s="861"/>
      <c r="F34" s="862">
        <f t="shared" si="5"/>
        <v>4.0949999999999997E-3</v>
      </c>
      <c r="G34" s="863">
        <f t="shared" si="0"/>
        <v>1</v>
      </c>
      <c r="H34" s="864">
        <f t="shared" si="1"/>
        <v>0</v>
      </c>
      <c r="I34" s="861"/>
      <c r="J34" s="861"/>
      <c r="K34" s="861">
        <f t="shared" si="2"/>
        <v>0</v>
      </c>
    </row>
    <row r="35" spans="1:11" ht="15.75">
      <c r="A35" s="837"/>
      <c r="B35" s="837"/>
      <c r="C35" s="837"/>
      <c r="D35" s="861"/>
      <c r="E35" s="861"/>
      <c r="F35" s="862"/>
      <c r="G35" s="837"/>
      <c r="H35" s="861">
        <f>SUM(H23:H34)</f>
        <v>0</v>
      </c>
      <c r="I35" s="861"/>
      <c r="J35" s="861"/>
      <c r="K35" s="865">
        <f>SUM(K23:K34)</f>
        <v>0</v>
      </c>
    </row>
    <row r="36" spans="1:11" ht="15.75">
      <c r="A36" s="837"/>
      <c r="B36" s="837"/>
      <c r="C36" s="837"/>
      <c r="D36" s="861"/>
      <c r="E36" s="861"/>
      <c r="F36" s="862"/>
      <c r="G36" s="837"/>
      <c r="H36" s="861"/>
      <c r="I36" s="861" t="s">
        <v>116</v>
      </c>
      <c r="J36" s="861"/>
      <c r="K36" s="545"/>
    </row>
    <row r="37" spans="1:11" ht="15.75">
      <c r="A37" s="837"/>
      <c r="B37" s="837"/>
      <c r="C37" s="837"/>
      <c r="D37" s="847"/>
      <c r="E37" s="847"/>
      <c r="F37" s="862"/>
      <c r="G37" s="837"/>
      <c r="H37" s="866" t="s">
        <v>564</v>
      </c>
      <c r="I37" s="861"/>
      <c r="J37" s="861"/>
      <c r="K37" s="861"/>
    </row>
    <row r="38" spans="1:11" ht="15.75">
      <c r="A38" s="837" t="s">
        <v>565</v>
      </c>
      <c r="B38" s="837" t="str">
        <f>"Year 2019"</f>
        <v>Year 2019</v>
      </c>
      <c r="C38" s="837"/>
      <c r="D38" s="847">
        <f>K35</f>
        <v>0</v>
      </c>
      <c r="E38" s="847"/>
      <c r="F38" s="862">
        <f>+F34</f>
        <v>4.0949999999999997E-3</v>
      </c>
      <c r="G38" s="863">
        <v>12</v>
      </c>
      <c r="H38" s="861">
        <f>+G38*F38*D38</f>
        <v>0</v>
      </c>
      <c r="I38" s="861"/>
      <c r="J38" s="861"/>
      <c r="K38" s="865">
        <f>+D38+H38</f>
        <v>0</v>
      </c>
    </row>
    <row r="39" spans="1:11" ht="15.75">
      <c r="A39" s="837"/>
      <c r="B39" s="837"/>
      <c r="C39" s="837"/>
      <c r="D39" s="847"/>
      <c r="E39" s="847"/>
      <c r="F39" s="862"/>
      <c r="G39" s="837"/>
      <c r="H39" s="861"/>
      <c r="I39" s="861"/>
      <c r="J39" s="861"/>
      <c r="K39" s="861"/>
    </row>
    <row r="40" spans="1:11" ht="15.75">
      <c r="A40" s="867" t="s">
        <v>566</v>
      </c>
      <c r="B40" s="837"/>
      <c r="C40" s="837"/>
      <c r="D40" s="861"/>
      <c r="E40" s="861"/>
      <c r="F40" s="862"/>
      <c r="G40" s="837"/>
      <c r="H40" s="866" t="s">
        <v>560</v>
      </c>
      <c r="I40" s="861"/>
      <c r="J40" s="861"/>
      <c r="K40" s="861"/>
    </row>
    <row r="41" spans="1:11" ht="15.75">
      <c r="A41" s="837" t="s">
        <v>187</v>
      </c>
      <c r="B41" s="837" t="str">
        <f>"Year 2020"</f>
        <v>Year 2020</v>
      </c>
      <c r="C41" s="837"/>
      <c r="D41" s="868">
        <f>-K38</f>
        <v>0</v>
      </c>
      <c r="E41" s="847"/>
      <c r="F41" s="862">
        <f>+F34</f>
        <v>4.0949999999999997E-3</v>
      </c>
      <c r="G41" s="837"/>
      <c r="H41" s="861">
        <f xml:space="preserve"> -F41*D41</f>
        <v>0</v>
      </c>
      <c r="I41" s="861">
        <f>PMT(F41,12,K$38)</f>
        <v>0</v>
      </c>
      <c r="J41" s="861"/>
      <c r="K41" s="861">
        <f>(+D41+D41*F41-I41)*-1</f>
        <v>0</v>
      </c>
    </row>
    <row r="42" spans="1:11" ht="15.75">
      <c r="A42" s="837" t="s">
        <v>561</v>
      </c>
      <c r="B42" s="837" t="str">
        <f>+B41</f>
        <v>Year 2020</v>
      </c>
      <c r="C42" s="837"/>
      <c r="D42" s="847">
        <f>-K41</f>
        <v>0</v>
      </c>
      <c r="E42" s="847"/>
      <c r="F42" s="862">
        <f>+F41</f>
        <v>4.0949999999999997E-3</v>
      </c>
      <c r="G42" s="837"/>
      <c r="H42" s="861">
        <f xml:space="preserve"> -F42*D42</f>
        <v>0</v>
      </c>
      <c r="I42" s="861">
        <f>I41</f>
        <v>0</v>
      </c>
      <c r="J42" s="861"/>
      <c r="K42" s="861">
        <f t="shared" ref="K42:K52" si="6">(+D42+D42*F42-I42)*-1</f>
        <v>0</v>
      </c>
    </row>
    <row r="43" spans="1:11" ht="15.75">
      <c r="A43" s="837" t="s">
        <v>188</v>
      </c>
      <c r="B43" s="837" t="str">
        <f>+B42</f>
        <v>Year 2020</v>
      </c>
      <c r="C43" s="837"/>
      <c r="D43" s="847">
        <f t="shared" ref="D43:D52" si="7">-K42</f>
        <v>0</v>
      </c>
      <c r="E43" s="847"/>
      <c r="F43" s="862">
        <f t="shared" ref="F43:F52" si="8">+F42</f>
        <v>4.0949999999999997E-3</v>
      </c>
      <c r="G43" s="837"/>
      <c r="H43" s="861">
        <f t="shared" ref="H43:H52" si="9" xml:space="preserve"> -F43*D43</f>
        <v>0</v>
      </c>
      <c r="I43" s="861">
        <f t="shared" ref="I43:I52" si="10">I42</f>
        <v>0</v>
      </c>
      <c r="J43" s="861"/>
      <c r="K43" s="861">
        <f t="shared" si="6"/>
        <v>0</v>
      </c>
    </row>
    <row r="44" spans="1:11" ht="15.75">
      <c r="A44" s="837" t="s">
        <v>189</v>
      </c>
      <c r="B44" s="837" t="str">
        <f>+B43</f>
        <v>Year 2020</v>
      </c>
      <c r="C44" s="837"/>
      <c r="D44" s="847">
        <f t="shared" si="7"/>
        <v>0</v>
      </c>
      <c r="E44" s="847"/>
      <c r="F44" s="862">
        <f t="shared" si="8"/>
        <v>4.0949999999999997E-3</v>
      </c>
      <c r="G44" s="837"/>
      <c r="H44" s="861">
        <f t="shared" si="9"/>
        <v>0</v>
      </c>
      <c r="I44" s="861">
        <f t="shared" si="10"/>
        <v>0</v>
      </c>
      <c r="J44" s="861"/>
      <c r="K44" s="861">
        <f t="shared" si="6"/>
        <v>0</v>
      </c>
    </row>
    <row r="45" spans="1:11" ht="15.75">
      <c r="A45" s="837" t="s">
        <v>190</v>
      </c>
      <c r="B45" s="837" t="str">
        <f>+B44</f>
        <v>Year 2020</v>
      </c>
      <c r="C45" s="837"/>
      <c r="D45" s="847">
        <f t="shared" si="7"/>
        <v>0</v>
      </c>
      <c r="E45" s="847"/>
      <c r="F45" s="862">
        <f t="shared" si="8"/>
        <v>4.0949999999999997E-3</v>
      </c>
      <c r="G45" s="837"/>
      <c r="H45" s="861">
        <f t="shared" si="9"/>
        <v>0</v>
      </c>
      <c r="I45" s="861">
        <f>I44</f>
        <v>0</v>
      </c>
      <c r="J45" s="861"/>
      <c r="K45" s="861">
        <f t="shared" si="6"/>
        <v>0</v>
      </c>
    </row>
    <row r="46" spans="1:11" ht="15.75">
      <c r="A46" s="837" t="s">
        <v>384</v>
      </c>
      <c r="B46" s="837" t="str">
        <f>B45</f>
        <v>Year 2020</v>
      </c>
      <c r="C46" s="545"/>
      <c r="D46" s="847">
        <f t="shared" si="7"/>
        <v>0</v>
      </c>
      <c r="E46" s="847"/>
      <c r="F46" s="862">
        <f t="shared" si="8"/>
        <v>4.0949999999999997E-3</v>
      </c>
      <c r="G46" s="837"/>
      <c r="H46" s="861">
        <f t="shared" si="9"/>
        <v>0</v>
      </c>
      <c r="I46" s="861">
        <f t="shared" si="10"/>
        <v>0</v>
      </c>
      <c r="J46" s="861"/>
      <c r="K46" s="861">
        <f t="shared" si="6"/>
        <v>0</v>
      </c>
    </row>
    <row r="47" spans="1:11" ht="15.75">
      <c r="A47" s="837" t="s">
        <v>191</v>
      </c>
      <c r="B47" s="837" t="str">
        <f t="shared" ref="B47:B52" si="11">+B46</f>
        <v>Year 2020</v>
      </c>
      <c r="C47" s="837"/>
      <c r="D47" s="847">
        <f t="shared" si="7"/>
        <v>0</v>
      </c>
      <c r="E47" s="847"/>
      <c r="F47" s="862">
        <f t="shared" si="8"/>
        <v>4.0949999999999997E-3</v>
      </c>
      <c r="G47" s="837"/>
      <c r="H47" s="861">
        <f t="shared" si="9"/>
        <v>0</v>
      </c>
      <c r="I47" s="861">
        <f t="shared" si="10"/>
        <v>0</v>
      </c>
      <c r="J47" s="861"/>
      <c r="K47" s="861">
        <f t="shared" si="6"/>
        <v>0</v>
      </c>
    </row>
    <row r="48" spans="1:11" ht="15.75">
      <c r="A48" s="837" t="s">
        <v>192</v>
      </c>
      <c r="B48" s="837" t="str">
        <f t="shared" si="11"/>
        <v>Year 2020</v>
      </c>
      <c r="C48" s="837"/>
      <c r="D48" s="847">
        <f t="shared" si="7"/>
        <v>0</v>
      </c>
      <c r="E48" s="847"/>
      <c r="F48" s="862">
        <f t="shared" si="8"/>
        <v>4.0949999999999997E-3</v>
      </c>
      <c r="G48" s="837"/>
      <c r="H48" s="861">
        <f t="shared" si="9"/>
        <v>0</v>
      </c>
      <c r="I48" s="861">
        <f t="shared" si="10"/>
        <v>0</v>
      </c>
      <c r="J48" s="861"/>
      <c r="K48" s="861">
        <f t="shared" si="6"/>
        <v>0</v>
      </c>
    </row>
    <row r="49" spans="1:11" ht="15.75">
      <c r="A49" s="837" t="s">
        <v>194</v>
      </c>
      <c r="B49" s="837" t="str">
        <f t="shared" si="11"/>
        <v>Year 2020</v>
      </c>
      <c r="C49" s="837"/>
      <c r="D49" s="847">
        <f t="shared" si="7"/>
        <v>0</v>
      </c>
      <c r="E49" s="847"/>
      <c r="F49" s="862">
        <f t="shared" si="8"/>
        <v>4.0949999999999997E-3</v>
      </c>
      <c r="G49" s="837"/>
      <c r="H49" s="861">
        <f t="shared" si="9"/>
        <v>0</v>
      </c>
      <c r="I49" s="861">
        <f>I48</f>
        <v>0</v>
      </c>
      <c r="J49" s="861"/>
      <c r="K49" s="861">
        <f t="shared" si="6"/>
        <v>0</v>
      </c>
    </row>
    <row r="50" spans="1:11" ht="15.75">
      <c r="A50" s="837" t="s">
        <v>562</v>
      </c>
      <c r="B50" s="837" t="str">
        <f t="shared" si="11"/>
        <v>Year 2020</v>
      </c>
      <c r="C50" s="837"/>
      <c r="D50" s="847">
        <f t="shared" si="7"/>
        <v>0</v>
      </c>
      <c r="E50" s="847"/>
      <c r="F50" s="862">
        <f t="shared" si="8"/>
        <v>4.0949999999999997E-3</v>
      </c>
      <c r="G50" s="837"/>
      <c r="H50" s="861">
        <f t="shared" si="9"/>
        <v>0</v>
      </c>
      <c r="I50" s="861">
        <f t="shared" si="10"/>
        <v>0</v>
      </c>
      <c r="J50" s="861"/>
      <c r="K50" s="861">
        <f t="shared" si="6"/>
        <v>0</v>
      </c>
    </row>
    <row r="51" spans="1:11" ht="15.75">
      <c r="A51" s="837" t="s">
        <v>563</v>
      </c>
      <c r="B51" s="837" t="str">
        <f t="shared" si="11"/>
        <v>Year 2020</v>
      </c>
      <c r="C51" s="837"/>
      <c r="D51" s="847">
        <f t="shared" si="7"/>
        <v>0</v>
      </c>
      <c r="E51" s="847"/>
      <c r="F51" s="862">
        <f t="shared" si="8"/>
        <v>4.0949999999999997E-3</v>
      </c>
      <c r="G51" s="837"/>
      <c r="H51" s="861">
        <f t="shared" si="9"/>
        <v>0</v>
      </c>
      <c r="I51" s="861">
        <f t="shared" si="10"/>
        <v>0</v>
      </c>
      <c r="J51" s="861"/>
      <c r="K51" s="861">
        <f t="shared" si="6"/>
        <v>0</v>
      </c>
    </row>
    <row r="52" spans="1:11" ht="15.75">
      <c r="A52" s="837" t="s">
        <v>193</v>
      </c>
      <c r="B52" s="837" t="str">
        <f t="shared" si="11"/>
        <v>Year 2020</v>
      </c>
      <c r="C52" s="837"/>
      <c r="D52" s="847">
        <f t="shared" si="7"/>
        <v>0</v>
      </c>
      <c r="E52" s="847"/>
      <c r="F52" s="862">
        <f t="shared" si="8"/>
        <v>4.0949999999999997E-3</v>
      </c>
      <c r="G52" s="837"/>
      <c r="H52" s="864">
        <f t="shared" si="9"/>
        <v>0</v>
      </c>
      <c r="I52" s="861">
        <f t="shared" si="10"/>
        <v>0</v>
      </c>
      <c r="J52" s="861"/>
      <c r="K52" s="861">
        <f t="shared" si="6"/>
        <v>0</v>
      </c>
    </row>
    <row r="53" spans="1:11" ht="15.75">
      <c r="A53" s="837"/>
      <c r="B53" s="837"/>
      <c r="C53" s="837"/>
      <c r="D53" s="847"/>
      <c r="E53" s="847"/>
      <c r="F53" s="862"/>
      <c r="G53" s="837"/>
      <c r="H53" s="861">
        <f>SUM(H41:H52)</f>
        <v>0</v>
      </c>
      <c r="I53" s="861"/>
      <c r="J53" s="861"/>
      <c r="K53" s="861"/>
    </row>
    <row r="54" spans="1:11" ht="15">
      <c r="A54" s="545"/>
      <c r="B54" s="545"/>
      <c r="C54" s="545"/>
      <c r="D54" s="545"/>
      <c r="E54" s="545"/>
      <c r="F54" s="545"/>
      <c r="G54" s="545"/>
      <c r="H54" s="545"/>
      <c r="I54" s="869"/>
      <c r="J54" s="545"/>
      <c r="K54" s="545"/>
    </row>
    <row r="55" spans="1:11" ht="15.75">
      <c r="A55" s="837" t="s">
        <v>571</v>
      </c>
      <c r="B55" s="545"/>
      <c r="C55" s="545"/>
      <c r="D55" s="545"/>
      <c r="E55" s="545"/>
      <c r="F55" s="545"/>
      <c r="G55" s="545"/>
      <c r="H55" s="545"/>
      <c r="I55" s="870">
        <f>(SUM(I41:I52)*-1)</f>
        <v>0</v>
      </c>
      <c r="J55" s="545"/>
      <c r="K55" s="545"/>
    </row>
    <row r="56" spans="1:11" ht="15.75">
      <c r="A56" s="837" t="s">
        <v>567</v>
      </c>
      <c r="B56" s="545"/>
      <c r="C56" s="545"/>
      <c r="D56" s="545"/>
      <c r="E56" s="545"/>
      <c r="F56" s="545"/>
      <c r="G56" s="545"/>
      <c r="H56" s="545"/>
      <c r="I56" s="871">
        <f>+H12</f>
        <v>0</v>
      </c>
      <c r="J56" s="545"/>
      <c r="K56" s="545"/>
    </row>
    <row r="57" spans="1:11" ht="15.7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599" t="s">
        <v>572</v>
      </c>
      <c r="B59" s="1599"/>
      <c r="C59" s="1599"/>
      <c r="D59" s="1599"/>
      <c r="E59" s="872"/>
      <c r="F59" s="872"/>
      <c r="G59" s="872"/>
      <c r="H59" s="872"/>
      <c r="I59" s="872"/>
      <c r="J59" s="872"/>
      <c r="K59" s="872"/>
    </row>
    <row r="60" spans="1:11" ht="13.5">
      <c r="A60" s="873"/>
      <c r="B60" s="439"/>
      <c r="C60" s="439"/>
      <c r="D60" s="439"/>
      <c r="E60" s="439"/>
      <c r="F60" s="874"/>
      <c r="G60" s="439"/>
      <c r="H60" s="439"/>
      <c r="I60" s="875"/>
      <c r="J60" s="439"/>
      <c r="K60" s="439"/>
    </row>
    <row r="61" spans="1:11" ht="15.7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D263" sqref="D263"/>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21" style="357" customWidth="1"/>
    <col min="9" max="9" width="18.140625" style="357" customWidth="1"/>
    <col min="10" max="10" width="8.85546875" style="357"/>
    <col min="11" max="11" width="18.140625" style="357" customWidth="1"/>
    <col min="12" max="16384" width="8.85546875" style="357"/>
  </cols>
  <sheetData>
    <row r="1" spans="1:11" ht="15.75">
      <c r="A1" s="943" t="s">
        <v>116</v>
      </c>
    </row>
    <row r="2" spans="1:11" ht="15.75">
      <c r="A2" s="943" t="s">
        <v>116</v>
      </c>
    </row>
    <row r="3" spans="1:11" ht="15.75">
      <c r="A3" s="1597" t="s">
        <v>389</v>
      </c>
      <c r="B3" s="1597"/>
      <c r="C3" s="1597"/>
      <c r="D3" s="1597"/>
      <c r="E3" s="1597"/>
      <c r="F3" s="1597"/>
      <c r="G3" s="1597"/>
      <c r="H3" s="1597"/>
      <c r="I3" s="1597"/>
      <c r="J3" s="1597"/>
      <c r="K3" s="1597"/>
    </row>
    <row r="4" spans="1:11" ht="15.75">
      <c r="A4" s="1598" t="s">
        <v>569</v>
      </c>
      <c r="B4" s="1598"/>
      <c r="C4" s="1598"/>
      <c r="D4" s="1598"/>
      <c r="E4" s="1598"/>
      <c r="F4" s="1598"/>
      <c r="G4" s="1598"/>
      <c r="H4" s="1598"/>
      <c r="I4" s="1598"/>
      <c r="J4" s="1598"/>
      <c r="K4" s="1598"/>
    </row>
    <row r="5" spans="1:11" ht="15.75">
      <c r="A5" s="1598" t="s">
        <v>570</v>
      </c>
      <c r="B5" s="1598"/>
      <c r="C5" s="1598"/>
      <c r="D5" s="1598"/>
      <c r="E5" s="1598"/>
      <c r="F5" s="1598"/>
      <c r="G5" s="1598"/>
      <c r="H5" s="1598"/>
      <c r="I5" s="1598"/>
      <c r="J5" s="1598"/>
      <c r="K5" s="1598"/>
    </row>
    <row r="6" spans="1:11" ht="15.75">
      <c r="A6" s="545"/>
      <c r="B6" s="545"/>
      <c r="C6" s="545"/>
      <c r="D6" s="1598"/>
      <c r="E6" s="1598"/>
      <c r="F6" s="1598"/>
      <c r="G6" s="1598"/>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6"/>
      <c r="B9" s="837"/>
      <c r="C9" s="837"/>
      <c r="D9" s="837"/>
      <c r="E9" s="837"/>
      <c r="F9" s="837"/>
      <c r="G9" s="837"/>
      <c r="H9" s="837"/>
      <c r="I9" s="837"/>
      <c r="J9" s="837"/>
      <c r="K9" s="837"/>
    </row>
    <row r="10" spans="1:11" ht="47.25">
      <c r="A10" s="838" t="str">
        <f>"Reconciliation Revenue Requirement For Year 2018 Available May 25, 2019"</f>
        <v>Reconciliation Revenue Requirement For Year 2018 Available May 25, 2019</v>
      </c>
      <c r="B10" s="837"/>
      <c r="C10" s="837"/>
      <c r="D10" s="838" t="s">
        <v>1249</v>
      </c>
      <c r="E10" s="837"/>
      <c r="F10" s="837"/>
      <c r="G10" s="545"/>
      <c r="H10" s="838" t="s">
        <v>550</v>
      </c>
      <c r="I10" s="545"/>
      <c r="J10" s="545"/>
      <c r="K10" s="545"/>
    </row>
    <row r="11" spans="1:11" ht="15.75">
      <c r="A11" s="839" t="s">
        <v>116</v>
      </c>
      <c r="B11" s="837"/>
      <c r="C11" s="837"/>
      <c r="D11" s="839"/>
      <c r="E11" s="837"/>
      <c r="F11" s="837"/>
      <c r="G11" s="545"/>
      <c r="H11" s="840"/>
      <c r="I11" s="545"/>
      <c r="J11" s="545"/>
      <c r="K11" s="545"/>
    </row>
    <row r="12" spans="1:11" ht="16.5" thickBot="1">
      <c r="A12" s="923">
        <v>0</v>
      </c>
      <c r="B12" s="841" t="str">
        <f>"-"</f>
        <v>-</v>
      </c>
      <c r="C12" s="842"/>
      <c r="D12" s="923">
        <v>0</v>
      </c>
      <c r="E12" s="843"/>
      <c r="F12" s="844" t="str">
        <f>"="</f>
        <v>=</v>
      </c>
      <c r="G12" s="845"/>
      <c r="H12" s="846">
        <f>IF(A12=0,0,D12-A12)</f>
        <v>0</v>
      </c>
      <c r="I12" s="545"/>
      <c r="J12" s="545"/>
      <c r="K12" s="545"/>
    </row>
    <row r="13" spans="1:11" ht="15.75">
      <c r="A13" s="847"/>
      <c r="B13" s="848"/>
      <c r="C13" s="848"/>
      <c r="D13" s="847"/>
      <c r="E13" s="847"/>
      <c r="F13" s="848"/>
      <c r="G13" s="847"/>
      <c r="H13" s="545"/>
      <c r="I13" s="545"/>
      <c r="J13" s="545"/>
      <c r="K13" s="545"/>
    </row>
    <row r="14" spans="1:11" ht="16.5" thickBot="1">
      <c r="A14" s="849"/>
      <c r="B14" s="850"/>
      <c r="C14" s="850"/>
      <c r="D14" s="849"/>
      <c r="E14" s="849"/>
      <c r="F14" s="850"/>
      <c r="G14" s="849"/>
      <c r="H14" s="851"/>
      <c r="I14" s="851"/>
      <c r="J14" s="851"/>
      <c r="K14" s="851"/>
    </row>
    <row r="15" spans="1:11" ht="15.75">
      <c r="A15" s="852"/>
      <c r="B15" s="848"/>
      <c r="C15" s="848"/>
      <c r="D15" s="847"/>
      <c r="E15" s="847"/>
      <c r="F15" s="848"/>
      <c r="G15" s="847"/>
      <c r="H15" s="545"/>
      <c r="I15" s="545"/>
      <c r="J15" s="545"/>
      <c r="K15" s="545"/>
    </row>
    <row r="16" spans="1:11" ht="47.25">
      <c r="A16" s="853" t="s">
        <v>551</v>
      </c>
      <c r="B16" s="848"/>
      <c r="C16" s="848"/>
      <c r="D16" s="854" t="s">
        <v>552</v>
      </c>
      <c r="E16" s="847"/>
      <c r="F16" s="854" t="s">
        <v>553</v>
      </c>
      <c r="G16" s="855" t="s">
        <v>554</v>
      </c>
      <c r="H16" s="856" t="s">
        <v>555</v>
      </c>
      <c r="I16" s="854" t="s">
        <v>556</v>
      </c>
      <c r="J16" s="857"/>
      <c r="K16" s="854" t="s">
        <v>557</v>
      </c>
    </row>
    <row r="17" spans="1:11" ht="15.75">
      <c r="A17" s="853" t="s">
        <v>558</v>
      </c>
      <c r="B17" s="848"/>
      <c r="C17" s="848"/>
      <c r="D17" s="545"/>
      <c r="E17" s="858"/>
      <c r="F17" s="924">
        <f>'KPCO WS Q Interest'!F17</f>
        <v>4.0949999999999997E-3</v>
      </c>
      <c r="H17" s="545"/>
      <c r="I17" s="545"/>
      <c r="J17" s="545"/>
      <c r="K17" s="545"/>
    </row>
    <row r="18" spans="1:11" ht="15.75">
      <c r="A18" s="853"/>
      <c r="B18" s="848"/>
      <c r="C18" s="848"/>
      <c r="D18" s="545"/>
      <c r="E18" s="858"/>
      <c r="F18" s="858"/>
      <c r="G18" s="847"/>
      <c r="H18" s="545"/>
      <c r="I18" s="545"/>
      <c r="J18" s="545"/>
      <c r="K18" s="545"/>
    </row>
    <row r="19" spans="1:11" ht="15.75">
      <c r="A19" s="853" t="s">
        <v>1250</v>
      </c>
      <c r="B19" s="848"/>
      <c r="C19" s="848"/>
      <c r="D19" s="545"/>
      <c r="E19" s="858"/>
      <c r="F19" s="858"/>
      <c r="G19" s="847"/>
      <c r="H19" s="545"/>
      <c r="I19" s="545"/>
      <c r="J19" s="545"/>
      <c r="K19" s="545"/>
    </row>
    <row r="20" spans="1:11" ht="15.75">
      <c r="A20" s="859" t="s">
        <v>116</v>
      </c>
      <c r="B20" s="848"/>
      <c r="C20" s="848"/>
      <c r="D20" s="848"/>
      <c r="E20" s="848"/>
      <c r="F20" s="848" t="s">
        <v>116</v>
      </c>
      <c r="G20" s="545"/>
      <c r="H20" s="545"/>
      <c r="I20" s="545"/>
      <c r="J20" s="545"/>
      <c r="K20" s="545"/>
    </row>
    <row r="21" spans="1:11" ht="15.75">
      <c r="A21" s="860"/>
      <c r="B21" s="848"/>
      <c r="C21" s="848"/>
      <c r="D21" s="848"/>
      <c r="E21" s="848"/>
      <c r="F21" s="545"/>
      <c r="G21" s="545"/>
      <c r="H21" s="855"/>
      <c r="I21" s="848"/>
      <c r="J21" s="848"/>
      <c r="K21" s="848"/>
    </row>
    <row r="22" spans="1:11" ht="15.75">
      <c r="A22" s="860" t="s">
        <v>559</v>
      </c>
      <c r="B22" s="848"/>
      <c r="C22" s="848"/>
      <c r="D22" s="848"/>
      <c r="E22" s="848"/>
      <c r="F22" s="545"/>
      <c r="G22" s="545"/>
      <c r="H22" s="855" t="s">
        <v>560</v>
      </c>
      <c r="I22" s="848"/>
      <c r="J22" s="848"/>
      <c r="K22" s="848"/>
    </row>
    <row r="23" spans="1:11" ht="15.75">
      <c r="A23" s="837" t="s">
        <v>187</v>
      </c>
      <c r="B23" s="837" t="str">
        <f>"Year 2018"</f>
        <v>Year 2018</v>
      </c>
      <c r="C23" s="837"/>
      <c r="D23" s="861">
        <f>H12/12</f>
        <v>0</v>
      </c>
      <c r="E23" s="861"/>
      <c r="F23" s="862">
        <f>+F17</f>
        <v>4.0949999999999997E-3</v>
      </c>
      <c r="G23" s="863">
        <v>12</v>
      </c>
      <c r="H23" s="861">
        <f>F23*D23*G23*-1</f>
        <v>0</v>
      </c>
      <c r="I23" s="861"/>
      <c r="J23" s="861"/>
      <c r="K23" s="861">
        <f>(-H23+D23)*-1</f>
        <v>0</v>
      </c>
    </row>
    <row r="24" spans="1:11" ht="15.75">
      <c r="A24" s="837" t="s">
        <v>561</v>
      </c>
      <c r="B24" s="837" t="str">
        <f>B23</f>
        <v>Year 2018</v>
      </c>
      <c r="C24" s="837"/>
      <c r="D24" s="861">
        <f>+D23</f>
        <v>0</v>
      </c>
      <c r="E24" s="861"/>
      <c r="F24" s="862">
        <f>+F23</f>
        <v>4.0949999999999997E-3</v>
      </c>
      <c r="G24" s="863">
        <f t="shared" ref="G24:G34" si="0">+G23-1</f>
        <v>11</v>
      </c>
      <c r="H24" s="861">
        <f t="shared" ref="H24:H34" si="1">F24*D24*G24*-1</f>
        <v>0</v>
      </c>
      <c r="I24" s="861"/>
      <c r="J24" s="861"/>
      <c r="K24" s="861">
        <f t="shared" ref="K24:K34" si="2">(-H24+D24)*-1</f>
        <v>0</v>
      </c>
    </row>
    <row r="25" spans="1:11" ht="15.75">
      <c r="A25" s="837" t="s">
        <v>188</v>
      </c>
      <c r="B25" s="837" t="str">
        <f t="shared" ref="B25:B34" si="3">B24</f>
        <v>Year 2018</v>
      </c>
      <c r="C25" s="837"/>
      <c r="D25" s="861">
        <f t="shared" ref="D25:D34" si="4">+D24</f>
        <v>0</v>
      </c>
      <c r="E25" s="861"/>
      <c r="F25" s="862">
        <f t="shared" ref="F25:F34" si="5">+F24</f>
        <v>4.0949999999999997E-3</v>
      </c>
      <c r="G25" s="863">
        <f t="shared" si="0"/>
        <v>10</v>
      </c>
      <c r="H25" s="861">
        <f t="shared" si="1"/>
        <v>0</v>
      </c>
      <c r="I25" s="861"/>
      <c r="J25" s="861"/>
      <c r="K25" s="861">
        <f t="shared" si="2"/>
        <v>0</v>
      </c>
    </row>
    <row r="26" spans="1:11" ht="15.75">
      <c r="A26" s="837" t="s">
        <v>189</v>
      </c>
      <c r="B26" s="837" t="str">
        <f t="shared" si="3"/>
        <v>Year 2018</v>
      </c>
      <c r="C26" s="837"/>
      <c r="D26" s="861">
        <f t="shared" si="4"/>
        <v>0</v>
      </c>
      <c r="E26" s="861"/>
      <c r="F26" s="862">
        <f t="shared" si="5"/>
        <v>4.0949999999999997E-3</v>
      </c>
      <c r="G26" s="863">
        <f t="shared" si="0"/>
        <v>9</v>
      </c>
      <c r="H26" s="861">
        <f t="shared" si="1"/>
        <v>0</v>
      </c>
      <c r="I26" s="861"/>
      <c r="J26" s="861"/>
      <c r="K26" s="861">
        <f t="shared" si="2"/>
        <v>0</v>
      </c>
    </row>
    <row r="27" spans="1:11" ht="15.75">
      <c r="A27" s="837" t="s">
        <v>190</v>
      </c>
      <c r="B27" s="837" t="str">
        <f t="shared" si="3"/>
        <v>Year 2018</v>
      </c>
      <c r="C27" s="837"/>
      <c r="D27" s="861">
        <f t="shared" si="4"/>
        <v>0</v>
      </c>
      <c r="E27" s="861"/>
      <c r="F27" s="862">
        <f t="shared" si="5"/>
        <v>4.0949999999999997E-3</v>
      </c>
      <c r="G27" s="863">
        <f t="shared" si="0"/>
        <v>8</v>
      </c>
      <c r="H27" s="861">
        <f t="shared" si="1"/>
        <v>0</v>
      </c>
      <c r="I27" s="861"/>
      <c r="J27" s="861"/>
      <c r="K27" s="861">
        <f t="shared" si="2"/>
        <v>0</v>
      </c>
    </row>
    <row r="28" spans="1:11" ht="15.75">
      <c r="A28" s="837" t="s">
        <v>384</v>
      </c>
      <c r="B28" s="837" t="str">
        <f t="shared" si="3"/>
        <v>Year 2018</v>
      </c>
      <c r="C28" s="837"/>
      <c r="D28" s="861">
        <f t="shared" si="4"/>
        <v>0</v>
      </c>
      <c r="E28" s="861"/>
      <c r="F28" s="862">
        <f t="shared" si="5"/>
        <v>4.0949999999999997E-3</v>
      </c>
      <c r="G28" s="863">
        <f t="shared" si="0"/>
        <v>7</v>
      </c>
      <c r="H28" s="861">
        <f t="shared" si="1"/>
        <v>0</v>
      </c>
      <c r="I28" s="861"/>
      <c r="J28" s="861"/>
      <c r="K28" s="861">
        <f t="shared" si="2"/>
        <v>0</v>
      </c>
    </row>
    <row r="29" spans="1:11" ht="15.75">
      <c r="A29" s="837" t="s">
        <v>191</v>
      </c>
      <c r="B29" s="837" t="str">
        <f t="shared" si="3"/>
        <v>Year 2018</v>
      </c>
      <c r="C29" s="837"/>
      <c r="D29" s="861">
        <f t="shared" si="4"/>
        <v>0</v>
      </c>
      <c r="E29" s="861"/>
      <c r="F29" s="862">
        <f t="shared" si="5"/>
        <v>4.0949999999999997E-3</v>
      </c>
      <c r="G29" s="863">
        <f t="shared" si="0"/>
        <v>6</v>
      </c>
      <c r="H29" s="861">
        <f t="shared" si="1"/>
        <v>0</v>
      </c>
      <c r="I29" s="861"/>
      <c r="J29" s="861"/>
      <c r="K29" s="861">
        <f t="shared" si="2"/>
        <v>0</v>
      </c>
    </row>
    <row r="30" spans="1:11" ht="15.75">
      <c r="A30" s="837" t="s">
        <v>192</v>
      </c>
      <c r="B30" s="837" t="str">
        <f t="shared" si="3"/>
        <v>Year 2018</v>
      </c>
      <c r="C30" s="837"/>
      <c r="D30" s="861">
        <f t="shared" si="4"/>
        <v>0</v>
      </c>
      <c r="E30" s="861"/>
      <c r="F30" s="862">
        <f t="shared" si="5"/>
        <v>4.0949999999999997E-3</v>
      </c>
      <c r="G30" s="863">
        <f t="shared" si="0"/>
        <v>5</v>
      </c>
      <c r="H30" s="861">
        <f t="shared" si="1"/>
        <v>0</v>
      </c>
      <c r="I30" s="861"/>
      <c r="J30" s="861"/>
      <c r="K30" s="861">
        <f t="shared" si="2"/>
        <v>0</v>
      </c>
    </row>
    <row r="31" spans="1:11" ht="15.75">
      <c r="A31" s="837" t="s">
        <v>194</v>
      </c>
      <c r="B31" s="837" t="str">
        <f t="shared" si="3"/>
        <v>Year 2018</v>
      </c>
      <c r="C31" s="837"/>
      <c r="D31" s="861">
        <f t="shared" si="4"/>
        <v>0</v>
      </c>
      <c r="E31" s="861"/>
      <c r="F31" s="862">
        <f t="shared" si="5"/>
        <v>4.0949999999999997E-3</v>
      </c>
      <c r="G31" s="863">
        <f t="shared" si="0"/>
        <v>4</v>
      </c>
      <c r="H31" s="861">
        <f t="shared" si="1"/>
        <v>0</v>
      </c>
      <c r="I31" s="861"/>
      <c r="J31" s="861"/>
      <c r="K31" s="861">
        <f t="shared" si="2"/>
        <v>0</v>
      </c>
    </row>
    <row r="32" spans="1:11" ht="15.75">
      <c r="A32" s="837" t="s">
        <v>562</v>
      </c>
      <c r="B32" s="837" t="str">
        <f t="shared" si="3"/>
        <v>Year 2018</v>
      </c>
      <c r="C32" s="837"/>
      <c r="D32" s="861">
        <f t="shared" si="4"/>
        <v>0</v>
      </c>
      <c r="E32" s="861"/>
      <c r="F32" s="862">
        <f t="shared" si="5"/>
        <v>4.0949999999999997E-3</v>
      </c>
      <c r="G32" s="863">
        <f t="shared" si="0"/>
        <v>3</v>
      </c>
      <c r="H32" s="861">
        <f t="shared" si="1"/>
        <v>0</v>
      </c>
      <c r="I32" s="861"/>
      <c r="J32" s="861"/>
      <c r="K32" s="861">
        <f t="shared" si="2"/>
        <v>0</v>
      </c>
    </row>
    <row r="33" spans="1:11" ht="15.75">
      <c r="A33" s="837" t="s">
        <v>563</v>
      </c>
      <c r="B33" s="837" t="str">
        <f t="shared" si="3"/>
        <v>Year 2018</v>
      </c>
      <c r="C33" s="837"/>
      <c r="D33" s="861">
        <f t="shared" si="4"/>
        <v>0</v>
      </c>
      <c r="E33" s="861"/>
      <c r="F33" s="862">
        <f t="shared" si="5"/>
        <v>4.0949999999999997E-3</v>
      </c>
      <c r="G33" s="863">
        <f t="shared" si="0"/>
        <v>2</v>
      </c>
      <c r="H33" s="861">
        <f t="shared" si="1"/>
        <v>0</v>
      </c>
      <c r="I33" s="861"/>
      <c r="J33" s="861"/>
      <c r="K33" s="861">
        <f t="shared" si="2"/>
        <v>0</v>
      </c>
    </row>
    <row r="34" spans="1:11" ht="15.75">
      <c r="A34" s="837" t="s">
        <v>193</v>
      </c>
      <c r="B34" s="837" t="str">
        <f t="shared" si="3"/>
        <v>Year 2018</v>
      </c>
      <c r="C34" s="837"/>
      <c r="D34" s="861">
        <f t="shared" si="4"/>
        <v>0</v>
      </c>
      <c r="E34" s="861"/>
      <c r="F34" s="862">
        <f t="shared" si="5"/>
        <v>4.0949999999999997E-3</v>
      </c>
      <c r="G34" s="863">
        <f t="shared" si="0"/>
        <v>1</v>
      </c>
      <c r="H34" s="864">
        <f t="shared" si="1"/>
        <v>0</v>
      </c>
      <c r="I34" s="861"/>
      <c r="J34" s="861"/>
      <c r="K34" s="861">
        <f t="shared" si="2"/>
        <v>0</v>
      </c>
    </row>
    <row r="35" spans="1:11" ht="15.75">
      <c r="A35" s="837"/>
      <c r="B35" s="837"/>
      <c r="C35" s="837"/>
      <c r="D35" s="861"/>
      <c r="E35" s="861"/>
      <c r="F35" s="862"/>
      <c r="G35" s="837"/>
      <c r="H35" s="861">
        <f>SUM(H23:H34)</f>
        <v>0</v>
      </c>
      <c r="I35" s="861"/>
      <c r="J35" s="861"/>
      <c r="K35" s="865">
        <f>SUM(K23:K34)</f>
        <v>0</v>
      </c>
    </row>
    <row r="36" spans="1:11" ht="15.75">
      <c r="A36" s="837"/>
      <c r="B36" s="837"/>
      <c r="C36" s="837"/>
      <c r="D36" s="861"/>
      <c r="E36" s="861"/>
      <c r="F36" s="862"/>
      <c r="G36" s="837"/>
      <c r="H36" s="861"/>
      <c r="I36" s="861" t="s">
        <v>116</v>
      </c>
      <c r="J36" s="861"/>
      <c r="K36" s="545"/>
    </row>
    <row r="37" spans="1:11" ht="15.75">
      <c r="A37" s="837"/>
      <c r="B37" s="837"/>
      <c r="C37" s="837"/>
      <c r="D37" s="847"/>
      <c r="E37" s="847"/>
      <c r="F37" s="862"/>
      <c r="G37" s="837"/>
      <c r="H37" s="866" t="s">
        <v>564</v>
      </c>
      <c r="I37" s="861"/>
      <c r="J37" s="861"/>
      <c r="K37" s="861"/>
    </row>
    <row r="38" spans="1:11" ht="15.75">
      <c r="A38" s="837" t="s">
        <v>565</v>
      </c>
      <c r="B38" s="837" t="str">
        <f>"Year 2019"</f>
        <v>Year 2019</v>
      </c>
      <c r="C38" s="837"/>
      <c r="D38" s="847">
        <f>K35</f>
        <v>0</v>
      </c>
      <c r="E38" s="847"/>
      <c r="F38" s="862">
        <f>+F34</f>
        <v>4.0949999999999997E-3</v>
      </c>
      <c r="G38" s="863">
        <v>12</v>
      </c>
      <c r="H38" s="861">
        <f>+G38*F38*D38</f>
        <v>0</v>
      </c>
      <c r="I38" s="861"/>
      <c r="J38" s="861"/>
      <c r="K38" s="865">
        <f>+D38+H38</f>
        <v>0</v>
      </c>
    </row>
    <row r="39" spans="1:11" ht="15.75">
      <c r="A39" s="837"/>
      <c r="B39" s="837"/>
      <c r="C39" s="837"/>
      <c r="D39" s="847"/>
      <c r="E39" s="847"/>
      <c r="F39" s="862"/>
      <c r="G39" s="837"/>
      <c r="H39" s="861"/>
      <c r="I39" s="861"/>
      <c r="J39" s="861"/>
      <c r="K39" s="861"/>
    </row>
    <row r="40" spans="1:11" ht="15.75">
      <c r="A40" s="867" t="s">
        <v>566</v>
      </c>
      <c r="B40" s="837"/>
      <c r="C40" s="837"/>
      <c r="D40" s="861"/>
      <c r="E40" s="861"/>
      <c r="F40" s="862"/>
      <c r="G40" s="837"/>
      <c r="H40" s="866" t="s">
        <v>560</v>
      </c>
      <c r="I40" s="861"/>
      <c r="J40" s="861"/>
      <c r="K40" s="861"/>
    </row>
    <row r="41" spans="1:11" ht="15.75">
      <c r="A41" s="837" t="s">
        <v>187</v>
      </c>
      <c r="B41" s="837" t="str">
        <f>"Year 2020"</f>
        <v>Year 2020</v>
      </c>
      <c r="C41" s="837"/>
      <c r="D41" s="868">
        <f>-K38</f>
        <v>0</v>
      </c>
      <c r="E41" s="847"/>
      <c r="F41" s="862">
        <f>+F34</f>
        <v>4.0949999999999997E-3</v>
      </c>
      <c r="G41" s="837"/>
      <c r="H41" s="861">
        <f xml:space="preserve"> -F41*D41</f>
        <v>0</v>
      </c>
      <c r="I41" s="861">
        <f>PMT(F41,12,K$38)</f>
        <v>0</v>
      </c>
      <c r="J41" s="861"/>
      <c r="K41" s="861">
        <f>(+D41+D41*F41-I41)*-1</f>
        <v>0</v>
      </c>
    </row>
    <row r="42" spans="1:11" ht="15.75">
      <c r="A42" s="837" t="s">
        <v>561</v>
      </c>
      <c r="B42" s="837" t="str">
        <f>+B41</f>
        <v>Year 2020</v>
      </c>
      <c r="C42" s="837"/>
      <c r="D42" s="847">
        <f>-K41</f>
        <v>0</v>
      </c>
      <c r="E42" s="847"/>
      <c r="F42" s="862">
        <f>+F41</f>
        <v>4.0949999999999997E-3</v>
      </c>
      <c r="G42" s="837"/>
      <c r="H42" s="861">
        <f xml:space="preserve"> -F42*D42</f>
        <v>0</v>
      </c>
      <c r="I42" s="861">
        <f>I41</f>
        <v>0</v>
      </c>
      <c r="J42" s="861"/>
      <c r="K42" s="861">
        <f t="shared" ref="K42:K52" si="6">(+D42+D42*F42-I42)*-1</f>
        <v>0</v>
      </c>
    </row>
    <row r="43" spans="1:11" ht="15.75">
      <c r="A43" s="837" t="s">
        <v>188</v>
      </c>
      <c r="B43" s="837" t="str">
        <f>+B42</f>
        <v>Year 2020</v>
      </c>
      <c r="C43" s="837"/>
      <c r="D43" s="847">
        <f t="shared" ref="D43:D52" si="7">-K42</f>
        <v>0</v>
      </c>
      <c r="E43" s="847"/>
      <c r="F43" s="862">
        <f t="shared" ref="F43:F52" si="8">+F42</f>
        <v>4.0949999999999997E-3</v>
      </c>
      <c r="G43" s="837"/>
      <c r="H43" s="861">
        <f t="shared" ref="H43:H52" si="9" xml:space="preserve"> -F43*D43</f>
        <v>0</v>
      </c>
      <c r="I43" s="861">
        <f t="shared" ref="I43:I52" si="10">I42</f>
        <v>0</v>
      </c>
      <c r="J43" s="861"/>
      <c r="K43" s="861">
        <f t="shared" si="6"/>
        <v>0</v>
      </c>
    </row>
    <row r="44" spans="1:11" ht="15.75">
      <c r="A44" s="837" t="s">
        <v>189</v>
      </c>
      <c r="B44" s="837" t="str">
        <f>+B43</f>
        <v>Year 2020</v>
      </c>
      <c r="C44" s="837"/>
      <c r="D44" s="847">
        <f t="shared" si="7"/>
        <v>0</v>
      </c>
      <c r="E44" s="847"/>
      <c r="F44" s="862">
        <f t="shared" si="8"/>
        <v>4.0949999999999997E-3</v>
      </c>
      <c r="G44" s="837"/>
      <c r="H44" s="861">
        <f t="shared" si="9"/>
        <v>0</v>
      </c>
      <c r="I44" s="861">
        <f t="shared" si="10"/>
        <v>0</v>
      </c>
      <c r="J44" s="861"/>
      <c r="K44" s="861">
        <f t="shared" si="6"/>
        <v>0</v>
      </c>
    </row>
    <row r="45" spans="1:11" ht="15.75">
      <c r="A45" s="837" t="s">
        <v>190</v>
      </c>
      <c r="B45" s="837" t="str">
        <f>+B44</f>
        <v>Year 2020</v>
      </c>
      <c r="C45" s="837"/>
      <c r="D45" s="847">
        <f t="shared" si="7"/>
        <v>0</v>
      </c>
      <c r="E45" s="847"/>
      <c r="F45" s="862">
        <f t="shared" si="8"/>
        <v>4.0949999999999997E-3</v>
      </c>
      <c r="G45" s="837"/>
      <c r="H45" s="861">
        <f t="shared" si="9"/>
        <v>0</v>
      </c>
      <c r="I45" s="861">
        <f>I44</f>
        <v>0</v>
      </c>
      <c r="J45" s="861"/>
      <c r="K45" s="861">
        <f t="shared" si="6"/>
        <v>0</v>
      </c>
    </row>
    <row r="46" spans="1:11" ht="15.75">
      <c r="A46" s="837" t="s">
        <v>384</v>
      </c>
      <c r="B46" s="837" t="str">
        <f>B45</f>
        <v>Year 2020</v>
      </c>
      <c r="C46" s="545"/>
      <c r="D46" s="847">
        <f t="shared" si="7"/>
        <v>0</v>
      </c>
      <c r="E46" s="847"/>
      <c r="F46" s="862">
        <f t="shared" si="8"/>
        <v>4.0949999999999997E-3</v>
      </c>
      <c r="G46" s="837"/>
      <c r="H46" s="861">
        <f t="shared" si="9"/>
        <v>0</v>
      </c>
      <c r="I46" s="861">
        <f t="shared" si="10"/>
        <v>0</v>
      </c>
      <c r="J46" s="861"/>
      <c r="K46" s="861">
        <f t="shared" si="6"/>
        <v>0</v>
      </c>
    </row>
    <row r="47" spans="1:11" ht="15.75">
      <c r="A47" s="837" t="s">
        <v>191</v>
      </c>
      <c r="B47" s="837" t="str">
        <f t="shared" ref="B47:B52" si="11">+B46</f>
        <v>Year 2020</v>
      </c>
      <c r="C47" s="837"/>
      <c r="D47" s="847">
        <f t="shared" si="7"/>
        <v>0</v>
      </c>
      <c r="E47" s="847"/>
      <c r="F47" s="862">
        <f t="shared" si="8"/>
        <v>4.0949999999999997E-3</v>
      </c>
      <c r="G47" s="837"/>
      <c r="H47" s="861">
        <f t="shared" si="9"/>
        <v>0</v>
      </c>
      <c r="I47" s="861">
        <f t="shared" si="10"/>
        <v>0</v>
      </c>
      <c r="J47" s="861"/>
      <c r="K47" s="861">
        <f t="shared" si="6"/>
        <v>0</v>
      </c>
    </row>
    <row r="48" spans="1:11" ht="15.75">
      <c r="A48" s="837" t="s">
        <v>192</v>
      </c>
      <c r="B48" s="837" t="str">
        <f t="shared" si="11"/>
        <v>Year 2020</v>
      </c>
      <c r="C48" s="837"/>
      <c r="D48" s="847">
        <f t="shared" si="7"/>
        <v>0</v>
      </c>
      <c r="E48" s="847"/>
      <c r="F48" s="862">
        <f t="shared" si="8"/>
        <v>4.0949999999999997E-3</v>
      </c>
      <c r="G48" s="837"/>
      <c r="H48" s="861">
        <f t="shared" si="9"/>
        <v>0</v>
      </c>
      <c r="I48" s="861">
        <f t="shared" si="10"/>
        <v>0</v>
      </c>
      <c r="J48" s="861"/>
      <c r="K48" s="861">
        <f t="shared" si="6"/>
        <v>0</v>
      </c>
    </row>
    <row r="49" spans="1:11" ht="15.75">
      <c r="A49" s="837" t="s">
        <v>194</v>
      </c>
      <c r="B49" s="837" t="str">
        <f t="shared" si="11"/>
        <v>Year 2020</v>
      </c>
      <c r="C49" s="837"/>
      <c r="D49" s="847">
        <f t="shared" si="7"/>
        <v>0</v>
      </c>
      <c r="E49" s="847"/>
      <c r="F49" s="862">
        <f t="shared" si="8"/>
        <v>4.0949999999999997E-3</v>
      </c>
      <c r="G49" s="837"/>
      <c r="H49" s="861">
        <f t="shared" si="9"/>
        <v>0</v>
      </c>
      <c r="I49" s="861">
        <f>I48</f>
        <v>0</v>
      </c>
      <c r="J49" s="861"/>
      <c r="K49" s="861">
        <f t="shared" si="6"/>
        <v>0</v>
      </c>
    </row>
    <row r="50" spans="1:11" ht="15.75">
      <c r="A50" s="837" t="s">
        <v>562</v>
      </c>
      <c r="B50" s="837" t="str">
        <f t="shared" si="11"/>
        <v>Year 2020</v>
      </c>
      <c r="C50" s="837"/>
      <c r="D50" s="847">
        <f t="shared" si="7"/>
        <v>0</v>
      </c>
      <c r="E50" s="847"/>
      <c r="F50" s="862">
        <f t="shared" si="8"/>
        <v>4.0949999999999997E-3</v>
      </c>
      <c r="G50" s="837"/>
      <c r="H50" s="861">
        <f t="shared" si="9"/>
        <v>0</v>
      </c>
      <c r="I50" s="861">
        <f t="shared" si="10"/>
        <v>0</v>
      </c>
      <c r="J50" s="861"/>
      <c r="K50" s="861">
        <f t="shared" si="6"/>
        <v>0</v>
      </c>
    </row>
    <row r="51" spans="1:11" ht="15.75">
      <c r="A51" s="837" t="s">
        <v>563</v>
      </c>
      <c r="B51" s="837" t="str">
        <f t="shared" si="11"/>
        <v>Year 2020</v>
      </c>
      <c r="C51" s="837"/>
      <c r="D51" s="847">
        <f t="shared" si="7"/>
        <v>0</v>
      </c>
      <c r="E51" s="847"/>
      <c r="F51" s="862">
        <f t="shared" si="8"/>
        <v>4.0949999999999997E-3</v>
      </c>
      <c r="G51" s="837"/>
      <c r="H51" s="861">
        <f t="shared" si="9"/>
        <v>0</v>
      </c>
      <c r="I51" s="861">
        <f t="shared" si="10"/>
        <v>0</v>
      </c>
      <c r="J51" s="861"/>
      <c r="K51" s="861">
        <f t="shared" si="6"/>
        <v>0</v>
      </c>
    </row>
    <row r="52" spans="1:11" ht="15.75">
      <c r="A52" s="837" t="s">
        <v>193</v>
      </c>
      <c r="B52" s="837" t="str">
        <f t="shared" si="11"/>
        <v>Year 2020</v>
      </c>
      <c r="C52" s="837"/>
      <c r="D52" s="847">
        <f t="shared" si="7"/>
        <v>0</v>
      </c>
      <c r="E52" s="847"/>
      <c r="F52" s="862">
        <f t="shared" si="8"/>
        <v>4.0949999999999997E-3</v>
      </c>
      <c r="G52" s="837"/>
      <c r="H52" s="864">
        <f t="shared" si="9"/>
        <v>0</v>
      </c>
      <c r="I52" s="861">
        <f t="shared" si="10"/>
        <v>0</v>
      </c>
      <c r="J52" s="861"/>
      <c r="K52" s="861">
        <f t="shared" si="6"/>
        <v>0</v>
      </c>
    </row>
    <row r="53" spans="1:11" ht="15.75">
      <c r="A53" s="837"/>
      <c r="B53" s="837"/>
      <c r="C53" s="837"/>
      <c r="D53" s="847"/>
      <c r="E53" s="847"/>
      <c r="F53" s="862"/>
      <c r="G53" s="837"/>
      <c r="H53" s="861">
        <f>SUM(H41:H52)</f>
        <v>0</v>
      </c>
      <c r="I53" s="861"/>
      <c r="J53" s="861"/>
      <c r="K53" s="861"/>
    </row>
    <row r="54" spans="1:11" ht="15">
      <c r="A54" s="545"/>
      <c r="B54" s="545"/>
      <c r="C54" s="545"/>
      <c r="D54" s="545"/>
      <c r="E54" s="545"/>
      <c r="F54" s="545"/>
      <c r="G54" s="545"/>
      <c r="H54" s="545"/>
      <c r="I54" s="869"/>
      <c r="J54" s="545"/>
      <c r="K54" s="545"/>
    </row>
    <row r="55" spans="1:11" ht="15.75">
      <c r="A55" s="837" t="s">
        <v>571</v>
      </c>
      <c r="B55" s="545"/>
      <c r="C55" s="545"/>
      <c r="D55" s="545"/>
      <c r="E55" s="545"/>
      <c r="F55" s="545"/>
      <c r="G55" s="545"/>
      <c r="H55" s="545"/>
      <c r="I55" s="870">
        <f>(SUM(I41:I52)*-1)</f>
        <v>0</v>
      </c>
      <c r="J55" s="545"/>
      <c r="K55" s="545"/>
    </row>
    <row r="56" spans="1:11" ht="15.75">
      <c r="A56" s="837" t="s">
        <v>567</v>
      </c>
      <c r="B56" s="545"/>
      <c r="C56" s="545"/>
      <c r="D56" s="545"/>
      <c r="E56" s="545"/>
      <c r="F56" s="545"/>
      <c r="G56" s="545"/>
      <c r="H56" s="545"/>
      <c r="I56" s="871">
        <f>+H12</f>
        <v>0</v>
      </c>
      <c r="J56" s="545"/>
      <c r="K56" s="545"/>
    </row>
    <row r="57" spans="1:11" ht="15.7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599" t="s">
        <v>572</v>
      </c>
      <c r="B59" s="1599"/>
      <c r="C59" s="1599"/>
      <c r="D59" s="1599"/>
      <c r="E59" s="872"/>
      <c r="F59" s="872"/>
      <c r="G59" s="872"/>
      <c r="H59" s="872"/>
      <c r="I59" s="872"/>
      <c r="J59" s="872"/>
      <c r="K59" s="872"/>
    </row>
    <row r="60" spans="1:11" ht="13.5">
      <c r="A60" s="873"/>
      <c r="B60" s="439"/>
      <c r="C60" s="439"/>
      <c r="D60" s="439"/>
      <c r="E60" s="439"/>
      <c r="F60" s="874"/>
      <c r="G60" s="439"/>
      <c r="H60" s="439"/>
      <c r="I60" s="875"/>
      <c r="J60" s="439"/>
      <c r="K60" s="439"/>
    </row>
    <row r="61" spans="1:11" ht="15.7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view="pageBreakPreview" topLeftCell="A13" zoomScaleNormal="75" zoomScaleSheetLayoutView="100" workbookViewId="0">
      <selection activeCell="D263" sqref="D263"/>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43" t="s">
        <v>116</v>
      </c>
    </row>
    <row r="2" spans="1:15" ht="15.75">
      <c r="A2" s="943" t="s">
        <v>116</v>
      </c>
    </row>
    <row r="3" spans="1:15" ht="15">
      <c r="A3" s="1496" t="s">
        <v>389</v>
      </c>
      <c r="B3" s="1496"/>
      <c r="C3" s="1496"/>
      <c r="D3" s="1496"/>
      <c r="E3" s="1496"/>
      <c r="F3" s="1496"/>
      <c r="G3" s="1496"/>
      <c r="H3" s="1496"/>
      <c r="I3" s="1496"/>
      <c r="J3" s="40"/>
      <c r="K3" s="40"/>
    </row>
    <row r="4" spans="1:15" ht="15">
      <c r="A4" s="1497" t="str">
        <f>"Cost of Service Formula Rate Using Actual/Projected FF1 Balances"</f>
        <v>Cost of Service Formula Rate Using Actual/Projected FF1 Balances</v>
      </c>
      <c r="B4" s="1497"/>
      <c r="C4" s="1497"/>
      <c r="D4" s="1497"/>
      <c r="E4" s="1497"/>
      <c r="F4" s="1497"/>
      <c r="G4" s="1497"/>
      <c r="H4" s="1497"/>
      <c r="I4" s="1497"/>
      <c r="J4" s="99"/>
      <c r="K4" s="99"/>
    </row>
    <row r="5" spans="1:15" ht="15">
      <c r="A5" s="1497" t="s">
        <v>473</v>
      </c>
      <c r="B5" s="1497"/>
      <c r="C5" s="1497"/>
      <c r="D5" s="1497"/>
      <c r="E5" s="1497"/>
      <c r="F5" s="1497"/>
      <c r="G5" s="1497"/>
      <c r="H5" s="1497"/>
      <c r="I5" s="1497"/>
      <c r="J5" s="98"/>
      <c r="K5" s="98"/>
    </row>
    <row r="6" spans="1:15" ht="15">
      <c r="A6" s="1508" t="str">
        <f>TCOS!F9</f>
        <v>KENTUCKY POWER COMPANY</v>
      </c>
      <c r="B6" s="1508"/>
      <c r="C6" s="1508"/>
      <c r="D6" s="1508"/>
      <c r="E6" s="1508"/>
      <c r="F6" s="1508"/>
      <c r="G6" s="1508"/>
      <c r="H6" s="1508"/>
      <c r="I6" s="1508"/>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506" t="str">
        <f>"Balance @ December 31, "&amp;TCOS!L4&amp;""</f>
        <v>Balance @ December 31, 2020</v>
      </c>
      <c r="F10" s="143"/>
      <c r="G10" s="1506" t="str">
        <f>"Balance @ December 31, "&amp;TCOS!L4-1&amp;""</f>
        <v>Balance @ December 31, 2019</v>
      </c>
      <c r="H10" s="143"/>
      <c r="I10" s="1509" t="str">
        <f>"Average Balance for "&amp;TCOS!L4&amp;""</f>
        <v>Average Balance for 2020</v>
      </c>
      <c r="J10"/>
      <c r="K10"/>
      <c r="L10"/>
      <c r="M10"/>
      <c r="N10"/>
      <c r="O10"/>
    </row>
    <row r="11" spans="1:15">
      <c r="A11" s="12" t="s">
        <v>107</v>
      </c>
      <c r="B11" s="11"/>
      <c r="C11" s="12" t="s">
        <v>169</v>
      </c>
      <c r="D11" s="12" t="s">
        <v>208</v>
      </c>
      <c r="E11" s="1507"/>
      <c r="F11" s="89"/>
      <c r="G11" s="1507"/>
      <c r="H11" s="238"/>
      <c r="I11" s="1507"/>
      <c r="J11"/>
      <c r="K11"/>
      <c r="L11"/>
      <c r="M11"/>
      <c r="N11"/>
      <c r="O11"/>
    </row>
    <row r="12" spans="1:15">
      <c r="A12" s="97"/>
      <c r="C12" s="34"/>
      <c r="D12" s="34"/>
      <c r="G12" s="250"/>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884">
        <f>SUM('WS B-1 - Actual Stmt. AF'!Q23:S23)</f>
        <v>47839411.109999999</v>
      </c>
      <c r="G17" s="926">
        <f>SUM('WS B-1 - Actual Stmt. AF'!M23:O23)</f>
        <v>51367232.520000003</v>
      </c>
      <c r="H17"/>
      <c r="I17" s="140">
        <f>IF(G17="",0,(E17+G17)/2)</f>
        <v>49603321.814999998</v>
      </c>
      <c r="J17" s="26"/>
      <c r="K17" s="26"/>
    </row>
    <row r="18" spans="1:17">
      <c r="A18" s="97">
        <f>+A17+1</f>
        <v>3</v>
      </c>
      <c r="C18" s="63" t="s">
        <v>521</v>
      </c>
      <c r="D18" s="318" t="str">
        <f>"WS B-1 - Actual Stmt. AF Ln. " &amp;'WS B-1 - Actual Stmt. AF'!A24&amp;" (Note 1)"</f>
        <v>WS B-1 - Actual Stmt. AF Ln. 4 (Note 1)</v>
      </c>
      <c r="E18" s="884">
        <f>SUM('WS B-1 - Actual Stmt. AF'!Q24:S24)</f>
        <v>0</v>
      </c>
      <c r="G18" s="938">
        <f>SUM('WS B-1 - Actual Stmt. AF'!M24:O24)</f>
        <v>0</v>
      </c>
      <c r="H18"/>
      <c r="I18" s="140">
        <f>IF(G18="",0,(E18+G18)/2)</f>
        <v>0</v>
      </c>
      <c r="J18" s="26"/>
      <c r="K18" s="26"/>
    </row>
    <row r="19" spans="1:17" ht="15">
      <c r="A19" s="97">
        <f>+A18+1</f>
        <v>4</v>
      </c>
      <c r="C19" s="63" t="s">
        <v>522</v>
      </c>
      <c r="D19" s="318" t="str">
        <f>"WS B-1 - Actual Stmt. AF Ln. " &amp;'WS B-1 - Actual Stmt. AF'!A23&amp;" (Note 1)"</f>
        <v>WS B-1 - Actual Stmt. AF Ln. 3 (Note 1)</v>
      </c>
      <c r="E19" s="885">
        <f>('WS B-1 - Actual Stmt. AF'!Q23+'WS B-1 - Actual Stmt. AF'!S23)-('WS B-1 - Actual Stmt. AF'!Q24+'WS B-1 - Actual Stmt. AF'!S24)</f>
        <v>47839411.109999999</v>
      </c>
      <c r="G19" s="927">
        <f>('WS B-1 - Actual Stmt. AF'!M23+'WS B-1 - Actual Stmt. AF'!O23)-('WS B-1 - Actual Stmt. AF'!M24+'WS B-1 - Actual Stmt. AF'!O24)</f>
        <v>51367232.520000003</v>
      </c>
      <c r="I19" s="219">
        <f>IF(G19="",0,(E19+G19)/2)</f>
        <v>49603321.814999998</v>
      </c>
      <c r="J19" s="26"/>
      <c r="K19" s="26"/>
    </row>
    <row r="20" spans="1:17">
      <c r="A20" s="97">
        <f>+A19+1</f>
        <v>5</v>
      </c>
      <c r="C20" s="63" t="s">
        <v>518</v>
      </c>
      <c r="D20" s="144" t="str">
        <f>"Ln "&amp;A17&amp;" - ln "&amp;A18&amp;" - ln "&amp;A19&amp;""</f>
        <v>Ln 2 - ln 3 - ln 4</v>
      </c>
      <c r="E20" s="27">
        <f>+E17-E18-E19</f>
        <v>0</v>
      </c>
      <c r="G20" s="27">
        <f>+G17-G18-G19</f>
        <v>0</v>
      </c>
      <c r="I20" s="140">
        <f>+I17-I18-I19</f>
        <v>0</v>
      </c>
      <c r="J20" s="26"/>
      <c r="K20" s="26"/>
    </row>
    <row r="21" spans="1:17">
      <c r="A21" s="97"/>
      <c r="C21" s="63"/>
      <c r="D21" s="144"/>
      <c r="J21" s="26"/>
      <c r="K21" s="26"/>
    </row>
    <row r="22" spans="1:17">
      <c r="A22" s="97"/>
      <c r="C22" s="63"/>
      <c r="D22" s="144"/>
      <c r="J22" s="26"/>
      <c r="K22" s="27"/>
      <c r="L22" s="27"/>
      <c r="M22" s="27"/>
      <c r="N22" s="27"/>
      <c r="O22" s="27"/>
    </row>
    <row r="23" spans="1:17" ht="15.75">
      <c r="A23" s="97">
        <f>+A20+1</f>
        <v>6</v>
      </c>
      <c r="C23" s="61" t="s">
        <v>512</v>
      </c>
      <c r="D23" s="144"/>
      <c r="J23" s="26"/>
      <c r="K23" s="27"/>
      <c r="L23" s="27"/>
      <c r="M23" s="27"/>
      <c r="N23" s="27"/>
      <c r="O23" s="27"/>
    </row>
    <row r="24" spans="1:17">
      <c r="A24" s="97"/>
      <c r="C24" s="63"/>
      <c r="D24" s="144"/>
      <c r="J24" s="26"/>
      <c r="K24" s="27"/>
      <c r="L24" s="27"/>
      <c r="M24" s="27"/>
      <c r="N24" s="27"/>
      <c r="O24" s="27"/>
    </row>
    <row r="25" spans="1:17">
      <c r="A25" s="97">
        <f>+A23+1</f>
        <v>7</v>
      </c>
      <c r="C25" s="63" t="s">
        <v>517</v>
      </c>
      <c r="D25" s="88" t="s">
        <v>451</v>
      </c>
      <c r="E25" s="930">
        <f>SUM('WS B-1 - Actual Stmt. AF'!Q66:S66)</f>
        <v>372208787.11000001</v>
      </c>
      <c r="G25" s="928">
        <f>SUM('WS B-1 - Actual Stmt. AF'!M66:O66)</f>
        <v>373067824.96999997</v>
      </c>
      <c r="H25"/>
      <c r="I25" s="140">
        <f>IF(G25="",0,(E25+G25)/2)</f>
        <v>372638306.03999996</v>
      </c>
      <c r="J25" s="26"/>
      <c r="K25" s="27"/>
      <c r="L25" s="27"/>
      <c r="M25" s="27"/>
      <c r="N25" s="27"/>
      <c r="O25" s="27"/>
    </row>
    <row r="26" spans="1:17">
      <c r="A26" s="97">
        <f>+A25+1</f>
        <v>8</v>
      </c>
      <c r="C26" s="63" t="s">
        <v>521</v>
      </c>
      <c r="D26" s="318" t="str">
        <f>"WS B-1 - Actual Stmt. AF Ln. " &amp;'WS B-1 - Actual Stmt. AF'!A67&amp;" (Note 1)"</f>
        <v>WS B-1 - Actual Stmt. AF Ln. 7 (Note 1)</v>
      </c>
      <c r="E26" s="938">
        <f>SUM('WS B-1 - Actual Stmt. AF'!Q67:S67)</f>
        <v>15366024.58</v>
      </c>
      <c r="G26" s="938">
        <f>SUM('WS B-1 - Actual Stmt. AF'!M67:O67)</f>
        <v>14831632.93</v>
      </c>
      <c r="H26"/>
      <c r="I26" s="140">
        <f>IF(G26="",0,(E26+G26)/2)</f>
        <v>15098828.754999999</v>
      </c>
      <c r="J26" s="26"/>
      <c r="K26" s="27"/>
      <c r="L26" s="27"/>
      <c r="M26" s="27"/>
      <c r="N26" s="27"/>
      <c r="O26" s="27"/>
    </row>
    <row r="27" spans="1:17" ht="15">
      <c r="A27" s="97">
        <f>+A26+1</f>
        <v>9</v>
      </c>
      <c r="C27" s="63" t="s">
        <v>522</v>
      </c>
      <c r="D27" s="318" t="str">
        <f>"WS B-1 - Actual Stmt. AF Ln. " &amp;'WS B-1 - Actual Stmt. AF'!A66&amp;" (Note 1)"</f>
        <v>WS B-1 - Actual Stmt. AF Ln. 6 (Note 1)</v>
      </c>
      <c r="E27" s="931">
        <f>('WS B-1 - Actual Stmt. AF'!Q66+'WS B-1 - Actual Stmt. AF'!S66)-('WS B-1 - Actual Stmt. AF'!Q67+'WS B-1 - Actual Stmt. AF'!S67)</f>
        <v>266030530.32000002</v>
      </c>
      <c r="G27" s="929">
        <f>('WS B-1 - Actual Stmt. AF'!M66+'WS B-1 - Actual Stmt. AF'!O66)-('WS B-1 - Actual Stmt. AF'!M67+'WS B-1 - Actual Stmt. AF'!O67)</f>
        <v>270442693.26999998</v>
      </c>
      <c r="I27" s="219">
        <f>IF(G27="",0,(E27+G27)/2)</f>
        <v>268236611.79500002</v>
      </c>
      <c r="J27" s="26"/>
      <c r="K27" s="27"/>
      <c r="L27" s="27"/>
      <c r="M27" s="27"/>
      <c r="N27" s="27"/>
      <c r="O27" s="27"/>
    </row>
    <row r="28" spans="1:17">
      <c r="A28" s="97">
        <f>+A27+1</f>
        <v>10</v>
      </c>
      <c r="C28" s="63" t="s">
        <v>518</v>
      </c>
      <c r="D28" s="144" t="str">
        <f>"Ln "&amp;A25&amp;" - ln "&amp;A26&amp;" - ln "&amp;A27&amp;""</f>
        <v>Ln 7 - ln 8 - ln 9</v>
      </c>
      <c r="E28" s="27">
        <f>+E25-E26-E27</f>
        <v>90812232.210000008</v>
      </c>
      <c r="G28" s="27">
        <f>+G25-G26-G27</f>
        <v>87793498.769999981</v>
      </c>
      <c r="I28" s="140">
        <f>+I25-I26-I27</f>
        <v>89302865.48999995</v>
      </c>
      <c r="J28" s="26"/>
      <c r="K28" s="27"/>
      <c r="L28" s="27"/>
      <c r="M28" s="27"/>
      <c r="N28" s="27"/>
      <c r="O28" s="27"/>
    </row>
    <row r="29" spans="1:17">
      <c r="A29" s="97"/>
      <c r="C29" s="63"/>
      <c r="D29" s="144"/>
      <c r="J29" s="26"/>
      <c r="K29" s="27"/>
      <c r="L29" s="27"/>
      <c r="M29" s="27"/>
      <c r="N29" s="27"/>
      <c r="O29" s="27"/>
      <c r="P29" s="27"/>
      <c r="Q29" s="27"/>
    </row>
    <row r="30" spans="1:17">
      <c r="A30" s="97"/>
      <c r="C30" s="63"/>
      <c r="D30" s="144"/>
      <c r="E30" s="142"/>
      <c r="G30" s="142"/>
      <c r="J30" s="26"/>
      <c r="K30" s="27"/>
      <c r="L30" s="27"/>
      <c r="M30" s="27"/>
      <c r="N30" s="27"/>
      <c r="O30" s="27"/>
      <c r="P30" s="27"/>
      <c r="Q30" s="27"/>
    </row>
    <row r="31" spans="1:17" ht="15.75">
      <c r="A31" s="97">
        <f>+A28+1</f>
        <v>11</v>
      </c>
      <c r="C31" s="61" t="s">
        <v>513</v>
      </c>
      <c r="D31" s="144"/>
      <c r="J31" s="26"/>
      <c r="K31" s="27"/>
      <c r="L31" s="27"/>
      <c r="M31" s="27"/>
      <c r="N31" s="27"/>
      <c r="O31" s="27"/>
      <c r="P31" s="27"/>
      <c r="Q31" s="27"/>
    </row>
    <row r="32" spans="1:17" ht="15.75">
      <c r="A32" s="97"/>
      <c r="C32" s="61"/>
      <c r="D32" s="144"/>
      <c r="J32" s="26"/>
      <c r="K32" s="27"/>
      <c r="L32" s="27"/>
      <c r="M32" s="27"/>
      <c r="N32" s="27"/>
      <c r="O32" s="27"/>
      <c r="P32" s="27"/>
      <c r="Q32" s="27"/>
    </row>
    <row r="33" spans="1:17">
      <c r="A33" s="97">
        <f>+A31+1</f>
        <v>12</v>
      </c>
      <c r="C33" s="63" t="s">
        <v>517</v>
      </c>
      <c r="D33" s="88" t="s">
        <v>520</v>
      </c>
      <c r="E33" s="932">
        <f>SUM('WS B-1 - Actual Stmt. AF'!Q153:S153)</f>
        <v>129331764.37000002</v>
      </c>
      <c r="G33" s="934">
        <f>SUM('WS B-1 - Actual Stmt. AF'!M153:O153)</f>
        <v>121002489.98999996</v>
      </c>
      <c r="H33"/>
      <c r="I33" s="140">
        <f>IF(G33="",0,(E33+G33)/2)</f>
        <v>125167127.17999999</v>
      </c>
      <c r="J33" s="26"/>
      <c r="K33" s="27"/>
      <c r="L33" s="27"/>
      <c r="M33" s="27"/>
      <c r="N33" s="27"/>
      <c r="O33" s="27"/>
      <c r="P33" s="27"/>
      <c r="Q33" s="27"/>
    </row>
    <row r="34" spans="1:17">
      <c r="A34" s="97">
        <f>+A33+1</f>
        <v>13</v>
      </c>
      <c r="C34" s="63" t="s">
        <v>521</v>
      </c>
      <c r="D34" s="318" t="str">
        <f>"WS B-1 - Actual Stmt. AF Ln. " &amp;'WS B-1 - Actual Stmt. AF'!A154&amp;" (Note 1)"</f>
        <v>WS B-1 - Actual Stmt. AF Ln. 13 (Note 1)</v>
      </c>
      <c r="E34" s="938">
        <f>SUM('WS B-1 - Actual Stmt. AF'!Q154:S154)</f>
        <v>24581052.91</v>
      </c>
      <c r="G34" s="938">
        <f>SUM('WS B-1 - Actual Stmt. AF'!M154:O154)</f>
        <v>24375628.030000001</v>
      </c>
      <c r="H34"/>
      <c r="I34" s="140">
        <f>IF(G34="",0,(E34+G34)/2)</f>
        <v>24478340.469999999</v>
      </c>
      <c r="J34" s="26"/>
      <c r="K34" s="1110"/>
      <c r="L34" s="1110"/>
      <c r="M34" s="1110"/>
      <c r="N34" s="1110"/>
      <c r="O34" s="1110"/>
    </row>
    <row r="35" spans="1:17" ht="15">
      <c r="A35" s="97">
        <f>+A34+1</f>
        <v>14</v>
      </c>
      <c r="C35" s="63" t="s">
        <v>522</v>
      </c>
      <c r="D35" s="318" t="str">
        <f>"WS B-1 - Actual Stmt. AF Ln. " &amp;'WS B-1 - Actual Stmt. AF'!A153&amp;" (Note 1)"</f>
        <v>WS B-1 - Actual Stmt. AF Ln. 12 (Note 1)</v>
      </c>
      <c r="E35" s="933">
        <f>('WS B-1 - Actual Stmt. AF'!Q153+'WS B-1 - Actual Stmt. AF'!S153)-('WS B-1 - Actual Stmt. AF'!Q154+'WS B-1 - Actual Stmt. AF'!S154)</f>
        <v>103817701.23000002</v>
      </c>
      <c r="G35" s="935">
        <f>('WS B-1 - Actual Stmt. AF'!M153+'WS B-1 - Actual Stmt. AF'!O153)-('WS B-1 - Actual Stmt. AF'!M154+'WS B-1 - Actual Stmt. AF'!O154)</f>
        <v>96470434.889999971</v>
      </c>
      <c r="I35" s="219">
        <f>IF(G35="",0,(E35+G35)/2)</f>
        <v>100144068.06</v>
      </c>
      <c r="J35" s="26"/>
      <c r="K35" s="26"/>
    </row>
    <row r="36" spans="1:17">
      <c r="A36" s="97">
        <f>+A35+1</f>
        <v>15</v>
      </c>
      <c r="C36" s="63" t="s">
        <v>518</v>
      </c>
      <c r="D36" s="144" t="str">
        <f>"Ln "&amp;A33&amp;" - ln "&amp;A34&amp;" - ln "&amp;A35&amp;""</f>
        <v>Ln 12 - ln 13 - ln 14</v>
      </c>
      <c r="E36" s="27">
        <f>+E33-E34-E35</f>
        <v>933010.23000000417</v>
      </c>
      <c r="G36" s="27">
        <f>+G33-G34-G35</f>
        <v>156427.06999999285</v>
      </c>
      <c r="I36" s="140">
        <f>+I33-I34-I35</f>
        <v>544718.64999999106</v>
      </c>
      <c r="J36" s="26"/>
      <c r="K36" s="26"/>
    </row>
    <row r="37" spans="1:17" ht="15.75">
      <c r="A37" s="97"/>
      <c r="C37" s="61"/>
      <c r="D37" s="144"/>
      <c r="J37" s="26"/>
      <c r="K37" s="27"/>
      <c r="L37" s="27"/>
      <c r="M37" s="27"/>
      <c r="N37" s="27"/>
      <c r="O37" s="27"/>
      <c r="P37" s="27"/>
    </row>
    <row r="38" spans="1:17">
      <c r="A38" s="97"/>
      <c r="C38" s="63"/>
      <c r="D38" s="144"/>
      <c r="J38" s="26"/>
      <c r="K38" s="27"/>
      <c r="L38" s="27"/>
      <c r="M38" s="27"/>
      <c r="N38" s="27"/>
      <c r="O38" s="27"/>
      <c r="P38" s="27"/>
    </row>
    <row r="39" spans="1:17" ht="15.75">
      <c r="A39" s="97">
        <f>+A36+1</f>
        <v>16</v>
      </c>
      <c r="C39" s="61" t="s">
        <v>514</v>
      </c>
      <c r="D39" s="144"/>
      <c r="J39" s="26"/>
      <c r="K39" s="27"/>
      <c r="L39" s="27"/>
      <c r="M39" s="27"/>
      <c r="N39" s="27"/>
      <c r="O39" s="27"/>
      <c r="P39" s="27"/>
    </row>
    <row r="40" spans="1:17">
      <c r="A40" s="97"/>
      <c r="C40" s="63"/>
      <c r="D40" s="144"/>
      <c r="J40" s="26"/>
      <c r="K40" s="27"/>
      <c r="L40" s="27"/>
      <c r="M40" s="27"/>
      <c r="N40" s="27"/>
      <c r="O40" s="27"/>
      <c r="P40" s="27"/>
    </row>
    <row r="41" spans="1:17">
      <c r="A41" s="97">
        <f>+A39+1</f>
        <v>17</v>
      </c>
      <c r="C41" s="63" t="s">
        <v>517</v>
      </c>
      <c r="D41" s="88" t="s">
        <v>516</v>
      </c>
      <c r="E41" s="936">
        <f>SUM('WS B-2 - Actual Stmt. AG'!Q102:S102)</f>
        <v>14662623.270000001</v>
      </c>
      <c r="G41" s="938">
        <f>SUM('WS B-2 - Actual Stmt. AG'!M102:O102)</f>
        <v>15472660.060000002</v>
      </c>
      <c r="H41"/>
      <c r="I41" s="140">
        <f>IF(G41="",0,(E41+G41)/2)</f>
        <v>15067641.665000003</v>
      </c>
      <c r="J41" s="26"/>
      <c r="K41" s="27"/>
      <c r="L41" s="27"/>
      <c r="M41" s="27"/>
      <c r="N41" s="27"/>
      <c r="O41" s="27"/>
    </row>
    <row r="42" spans="1:17">
      <c r="A42" s="97">
        <f>+A41+1</f>
        <v>18</v>
      </c>
      <c r="C42" s="63" t="s">
        <v>521</v>
      </c>
      <c r="D42" s="318" t="str">
        <f>"WS B-2 - Actual Stmt. AG Ln. " &amp;'WS B-2 - Actual Stmt. AG'!A103&amp;" (Note 1)"</f>
        <v>WS B-2 - Actual Stmt. AG Ln. 4 (Note 1)</v>
      </c>
      <c r="E42" s="938">
        <f>SUM('WS B-2 - Actual Stmt. AG'!Q103:S103)</f>
        <v>5170552.1499999994</v>
      </c>
      <c r="G42" s="938">
        <f>SUM('WS B-2 - Actual Stmt. AG'!M103:O103)</f>
        <v>9165188.4199999999</v>
      </c>
      <c r="H42"/>
      <c r="I42" s="140">
        <f>IF(G42="",0,(E42+G42)/2)</f>
        <v>7167870.2850000001</v>
      </c>
      <c r="J42" s="26"/>
      <c r="K42" s="27"/>
      <c r="L42" s="27"/>
      <c r="M42" s="27"/>
      <c r="N42" s="27"/>
      <c r="O42" s="27"/>
    </row>
    <row r="43" spans="1:17" ht="15">
      <c r="A43" s="97">
        <f>+A42+1</f>
        <v>19</v>
      </c>
      <c r="C43" s="63" t="s">
        <v>522</v>
      </c>
      <c r="D43" s="318" t="str">
        <f>"WS B-2 - Actual Stmt. AG Ln. " &amp;'WS B-2 - Actual Stmt. AG'!A102&amp;" (Note 1)"</f>
        <v>WS B-2 - Actual Stmt. AG Ln. 3 (Note 1)</v>
      </c>
      <c r="E43" s="937">
        <f>('WS B-2 - Actual Stmt. AG'!Q102+'WS B-2 - Actual Stmt. AG'!S102)-('WS B-2 - Actual Stmt. AG'!Q103+'WS B-2 - Actual Stmt. AG'!S103)</f>
        <v>7055901.0200000005</v>
      </c>
      <c r="G43" s="939">
        <f>('WS B-2 - Actual Stmt. AG'!M102+'WS B-2 - Actual Stmt. AG'!O102)-('WS B-2 - Actual Stmt. AG'!M103+'WS B-2 - Actual Stmt. AG'!O103)</f>
        <v>3918991.2800000012</v>
      </c>
      <c r="I43" s="219">
        <f>IF(G43="",0,(E43+G43)/2)</f>
        <v>5487446.1500000004</v>
      </c>
      <c r="J43" s="26"/>
      <c r="K43" s="27"/>
      <c r="L43" s="27"/>
      <c r="M43" s="27"/>
      <c r="N43" s="27"/>
      <c r="O43" s="27"/>
    </row>
    <row r="44" spans="1:17">
      <c r="A44" s="97">
        <f>+A43+1</f>
        <v>20</v>
      </c>
      <c r="C44" s="63" t="s">
        <v>518</v>
      </c>
      <c r="D44" s="144" t="str">
        <f>"Ln "&amp;A41&amp;" - ln "&amp;A42&amp;" - ln "&amp;A43&amp;""</f>
        <v>Ln 17 - ln 18 - ln 19</v>
      </c>
      <c r="E44" s="27">
        <f>+E41-E42-E43</f>
        <v>2436170.1000000006</v>
      </c>
      <c r="G44" s="27">
        <f>+G41-G42-G43</f>
        <v>2388480.3600000013</v>
      </c>
      <c r="I44" s="140">
        <f>+I41-I42-I43</f>
        <v>2412325.2300000023</v>
      </c>
      <c r="J44" s="26"/>
      <c r="K44" s="26"/>
    </row>
    <row r="45" spans="1:17">
      <c r="A45" s="97"/>
      <c r="C45" s="63"/>
      <c r="D45" s="144"/>
      <c r="J45" s="26"/>
      <c r="K45" s="26"/>
    </row>
    <row r="46" spans="1:17">
      <c r="A46" s="97"/>
      <c r="C46" s="63"/>
      <c r="D46" s="144"/>
      <c r="J46" s="26"/>
      <c r="K46" s="26"/>
    </row>
    <row r="47" spans="1:17" ht="15.75">
      <c r="A47" s="97">
        <f>+A44+1</f>
        <v>21</v>
      </c>
      <c r="C47" s="61" t="s">
        <v>515</v>
      </c>
      <c r="D47" s="144"/>
      <c r="J47" s="26"/>
      <c r="K47" s="26"/>
    </row>
    <row r="48" spans="1:17">
      <c r="A48" s="97"/>
      <c r="C48" s="63"/>
      <c r="D48" s="144"/>
      <c r="J48" s="26"/>
      <c r="K48" s="27"/>
      <c r="L48" s="27"/>
      <c r="M48" s="27"/>
      <c r="N48" s="27"/>
      <c r="O48" s="27"/>
    </row>
    <row r="49" spans="1:15">
      <c r="A49" s="97">
        <f>+A47+1</f>
        <v>22</v>
      </c>
      <c r="C49" s="63" t="s">
        <v>523</v>
      </c>
      <c r="D49" s="88" t="s">
        <v>472</v>
      </c>
      <c r="E49" s="884">
        <v>26</v>
      </c>
      <c r="G49" s="884">
        <v>86</v>
      </c>
      <c r="H49"/>
      <c r="I49" s="140">
        <f>IF(G49="",0,(E49+G49)/2)</f>
        <v>56</v>
      </c>
      <c r="J49" s="26"/>
      <c r="K49" s="27"/>
      <c r="L49" s="27"/>
      <c r="M49" s="27"/>
      <c r="N49" s="27"/>
      <c r="O49" s="27"/>
    </row>
    <row r="50" spans="1:15" ht="15">
      <c r="A50" s="97">
        <f>+A49+1</f>
        <v>23</v>
      </c>
      <c r="C50" s="63" t="s">
        <v>524</v>
      </c>
      <c r="D50" s="318" t="s">
        <v>68</v>
      </c>
      <c r="E50" s="885">
        <v>26</v>
      </c>
      <c r="G50" s="885">
        <v>86</v>
      </c>
      <c r="H50"/>
      <c r="I50" s="219">
        <f>IF(G50="",0,(E50+G50)/2)</f>
        <v>56</v>
      </c>
      <c r="J50" s="26"/>
      <c r="K50" s="27"/>
      <c r="L50" s="27"/>
      <c r="M50" s="27"/>
      <c r="N50" s="27"/>
      <c r="O50" s="27"/>
    </row>
    <row r="51" spans="1:15">
      <c r="A51" s="97">
        <f>+A50+1</f>
        <v>24</v>
      </c>
      <c r="C51" s="63" t="s">
        <v>390</v>
      </c>
      <c r="D51" s="144" t="str">
        <f>"Ln "&amp;A49&amp;" - ln "&amp;A50&amp;""</f>
        <v>Ln 22 - ln 23</v>
      </c>
      <c r="E51" s="27">
        <f>+E49-E50</f>
        <v>0</v>
      </c>
      <c r="G51" s="27">
        <f>+G49-G50</f>
        <v>0</v>
      </c>
      <c r="H51"/>
      <c r="I51" s="140">
        <f>+I49-I50</f>
        <v>0</v>
      </c>
      <c r="J51" s="26"/>
      <c r="K51" s="27"/>
      <c r="L51" s="27"/>
      <c r="M51" s="27"/>
      <c r="N51" s="27"/>
      <c r="O51" s="27"/>
    </row>
    <row r="52" spans="1:15">
      <c r="A52" s="97">
        <f>+A51+1</f>
        <v>25</v>
      </c>
      <c r="C52" s="63" t="s">
        <v>518</v>
      </c>
      <c r="D52" s="318" t="str">
        <f>"WS B-1 - Actual Stmt. AF Ln. " &amp;'WS B-1 - Actual Stmt. AF'!A167&amp;" (Note 1)"</f>
        <v>WS B-1 - Actual Stmt. AF Ln. 20 (Note 1)</v>
      </c>
      <c r="E52" s="884">
        <f>'WS B-1 - Actual Stmt. AF'!R167</f>
        <v>0</v>
      </c>
      <c r="G52" s="884">
        <f>'WS B-1 - Actual Stmt. AF'!N167</f>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505" t="s">
        <v>826</v>
      </c>
      <c r="D54" s="1505"/>
      <c r="E54" s="1505"/>
      <c r="F54" s="1505"/>
      <c r="G54" s="1505"/>
      <c r="H54" s="1505"/>
      <c r="I54" s="1505"/>
      <c r="J54" s="26"/>
      <c r="K54" s="26"/>
    </row>
    <row r="55" spans="1:15">
      <c r="A55" s="86"/>
      <c r="C55" s="1505"/>
      <c r="D55" s="1505"/>
      <c r="E55" s="1505"/>
      <c r="F55" s="1505"/>
      <c r="G55" s="1505"/>
      <c r="H55" s="1505"/>
      <c r="I55" s="1505"/>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7"/>
  <sheetViews>
    <sheetView view="pageBreakPreview" topLeftCell="A128" zoomScale="85" zoomScaleNormal="50" zoomScaleSheetLayoutView="85" workbookViewId="0">
      <selection activeCell="D263" sqref="D263"/>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94"/>
      <c r="B1" s="1161" t="str">
        <f>TCOS!F9</f>
        <v>KENTUCKY POWER COMPANY</v>
      </c>
      <c r="C1" s="1075"/>
      <c r="D1" s="1075"/>
      <c r="E1" s="1075"/>
      <c r="F1" s="1075"/>
      <c r="G1" s="1076"/>
      <c r="H1" s="1076"/>
      <c r="I1" s="1076"/>
      <c r="J1" s="1076"/>
      <c r="K1" s="1076"/>
      <c r="L1" s="1076"/>
      <c r="M1" s="1075"/>
      <c r="N1" s="1075"/>
      <c r="O1" s="1075"/>
      <c r="P1" s="1075"/>
      <c r="Q1" s="1075"/>
      <c r="R1" s="1075"/>
      <c r="S1" s="1076"/>
    </row>
    <row r="2" spans="1:19">
      <c r="A2" s="1094"/>
      <c r="B2" s="1074" t="s">
        <v>828</v>
      </c>
      <c r="C2" s="1075"/>
      <c r="D2" s="1075"/>
      <c r="E2" s="1075"/>
      <c r="F2" s="1075"/>
      <c r="G2" s="1076"/>
      <c r="H2" s="1076"/>
      <c r="I2" s="1076"/>
      <c r="J2" s="1076"/>
      <c r="K2" s="1076"/>
      <c r="L2" s="1076"/>
      <c r="M2" s="1075"/>
      <c r="N2" s="1075"/>
      <c r="O2" s="1075"/>
      <c r="P2" s="1075"/>
      <c r="Q2" s="1075"/>
      <c r="R2" s="1075"/>
      <c r="S2" s="1076"/>
    </row>
    <row r="3" spans="1:19">
      <c r="A3" s="1094"/>
      <c r="B3" s="1116" t="str">
        <f>"PERIOD ENDED DECEMBER 31, "&amp;TCOS!L4</f>
        <v>PERIOD ENDED DECEMBER 31, 2020</v>
      </c>
      <c r="C3" s="1075"/>
      <c r="D3" s="1075"/>
      <c r="E3" s="1075"/>
      <c r="F3" s="1075"/>
      <c r="G3" s="1075"/>
      <c r="H3" s="1075"/>
      <c r="I3" s="1075"/>
      <c r="J3" s="1075"/>
      <c r="K3" s="1075"/>
      <c r="L3" s="1075"/>
      <c r="M3" s="1075"/>
      <c r="N3" s="1075"/>
      <c r="O3" s="1075"/>
      <c r="P3" s="1075"/>
      <c r="Q3" s="1075"/>
      <c r="R3" s="1075"/>
      <c r="S3" s="1075"/>
    </row>
    <row r="4" spans="1:19">
      <c r="A4" s="1094"/>
      <c r="B4" s="1075"/>
      <c r="C4" s="1075"/>
      <c r="D4" s="1075"/>
      <c r="E4" s="1075"/>
      <c r="F4" s="1075"/>
      <c r="G4" s="999" t="s">
        <v>701</v>
      </c>
      <c r="H4" s="999"/>
      <c r="I4" s="999"/>
      <c r="J4" s="999"/>
      <c r="K4" s="999"/>
      <c r="L4" s="999"/>
      <c r="M4" s="1075"/>
      <c r="N4" s="1075"/>
      <c r="O4" s="1075"/>
      <c r="P4" s="1075"/>
      <c r="Q4" s="1075"/>
      <c r="R4" s="1075"/>
      <c r="S4" s="1075"/>
    </row>
    <row r="5" spans="1:19">
      <c r="A5" s="1094"/>
      <c r="B5" s="1077"/>
      <c r="C5" s="1075"/>
      <c r="D5" s="1075"/>
      <c r="E5" s="1075"/>
      <c r="F5" s="1075"/>
      <c r="G5" s="1075"/>
      <c r="H5" s="1075"/>
      <c r="I5" s="1075"/>
      <c r="J5" s="1075"/>
      <c r="K5" s="1075"/>
      <c r="L5" s="1075"/>
      <c r="M5" s="1075"/>
      <c r="N5" s="1075"/>
      <c r="O5" s="1075"/>
      <c r="P5" s="1075"/>
      <c r="Q5" s="1075"/>
      <c r="R5" s="1075"/>
      <c r="S5" s="1075"/>
    </row>
    <row r="6" spans="1:19">
      <c r="A6" s="1094"/>
      <c r="B6" s="1075"/>
      <c r="C6" s="1075"/>
      <c r="D6" s="1075"/>
      <c r="E6" s="1075"/>
      <c r="F6" s="1075"/>
      <c r="G6" s="1075"/>
      <c r="H6" s="1075"/>
      <c r="I6" s="1075"/>
      <c r="J6" s="1075"/>
      <c r="K6" s="1075"/>
      <c r="L6" s="1075"/>
      <c r="M6" s="1075"/>
      <c r="N6" s="1075"/>
      <c r="O6" s="1075"/>
      <c r="P6" s="1075"/>
      <c r="Q6" s="1075"/>
      <c r="R6" s="1075"/>
      <c r="S6" s="1075"/>
    </row>
    <row r="7" spans="1:19">
      <c r="A7" s="1094"/>
      <c r="B7" s="1075"/>
      <c r="C7" s="1075"/>
      <c r="D7" s="1075"/>
      <c r="E7" s="1075"/>
      <c r="F7" s="1075"/>
      <c r="G7" s="1075"/>
      <c r="H7" s="1075"/>
      <c r="I7" s="1075"/>
      <c r="J7" s="1075"/>
      <c r="K7" s="1075"/>
      <c r="L7" s="1075"/>
      <c r="M7" s="1075"/>
      <c r="N7" s="1075"/>
      <c r="O7" s="1075"/>
      <c r="P7" s="1075"/>
      <c r="Q7" s="1075"/>
      <c r="R7" s="1075"/>
      <c r="S7" s="1075"/>
    </row>
    <row r="8" spans="1:19">
      <c r="A8" s="1094"/>
      <c r="B8" s="1078" t="s">
        <v>702</v>
      </c>
      <c r="C8" s="1078" t="s">
        <v>703</v>
      </c>
      <c r="D8" s="1078" t="s">
        <v>704</v>
      </c>
      <c r="E8" s="1078" t="s">
        <v>705</v>
      </c>
      <c r="F8" s="1078" t="s">
        <v>706</v>
      </c>
      <c r="G8" s="1078" t="s">
        <v>707</v>
      </c>
      <c r="H8" s="1078"/>
      <c r="I8" s="1078" t="s">
        <v>708</v>
      </c>
      <c r="J8" s="1078" t="s">
        <v>709</v>
      </c>
      <c r="K8" s="1078" t="s">
        <v>710</v>
      </c>
      <c r="L8" s="1078"/>
      <c r="M8" s="1078" t="s">
        <v>711</v>
      </c>
      <c r="N8" s="1078" t="s">
        <v>712</v>
      </c>
      <c r="O8" s="1078" t="s">
        <v>713</v>
      </c>
      <c r="P8" s="1075"/>
      <c r="Q8" s="1078" t="s">
        <v>714</v>
      </c>
      <c r="R8" s="1078" t="s">
        <v>715</v>
      </c>
      <c r="S8" s="1078" t="s">
        <v>716</v>
      </c>
    </row>
    <row r="9" spans="1:19">
      <c r="A9" s="1094"/>
      <c r="B9" s="1075"/>
      <c r="C9" s="1075"/>
      <c r="D9" s="1075"/>
      <c r="E9" s="1075"/>
      <c r="F9" s="1075"/>
      <c r="G9" s="1075"/>
      <c r="H9" s="1075"/>
      <c r="I9" s="1075"/>
      <c r="J9" s="1075"/>
      <c r="K9" s="1075"/>
      <c r="L9" s="1075"/>
      <c r="M9" s="1075"/>
      <c r="N9" s="1075"/>
      <c r="O9" s="1075"/>
      <c r="P9" s="1075"/>
      <c r="Q9" s="1075"/>
      <c r="R9" s="1075"/>
      <c r="S9" s="1075"/>
    </row>
    <row r="10" spans="1:19">
      <c r="A10" s="1094"/>
      <c r="B10" s="1075"/>
      <c r="C10" s="1079" t="s">
        <v>717</v>
      </c>
      <c r="D10" s="1079"/>
      <c r="E10" s="1080" t="s">
        <v>718</v>
      </c>
      <c r="F10" s="1079"/>
      <c r="G10" s="22" t="s">
        <v>719</v>
      </c>
      <c r="H10" s="22"/>
      <c r="I10" s="1081" t="s">
        <v>720</v>
      </c>
      <c r="J10" s="1079"/>
      <c r="K10" s="1079"/>
      <c r="L10" s="22"/>
      <c r="M10" s="1081" t="str">
        <f>"FUNCTIONALIZATION 12/31/"&amp;TCOS!L4-1</f>
        <v>FUNCTIONALIZATION 12/31/2019</v>
      </c>
      <c r="N10" s="1079"/>
      <c r="O10" s="1079"/>
      <c r="P10" s="1075"/>
      <c r="Q10" s="1081" t="str">
        <f>"FUNCTIONALIZATION 12/31/"&amp;TCOS!L4</f>
        <v>FUNCTIONALIZATION 12/31/2020</v>
      </c>
      <c r="R10" s="1079"/>
      <c r="S10" s="1079"/>
    </row>
    <row r="11" spans="1:19">
      <c r="A11" s="1094"/>
      <c r="B11" s="1075"/>
      <c r="C11" s="1083"/>
      <c r="D11" s="1083"/>
      <c r="E11" s="1075"/>
      <c r="F11" s="1075"/>
      <c r="G11" s="22" t="s">
        <v>721</v>
      </c>
      <c r="H11" s="22"/>
      <c r="I11" s="1083"/>
      <c r="J11" s="1083"/>
      <c r="K11" s="1083"/>
      <c r="L11" s="22"/>
      <c r="M11" s="1083"/>
      <c r="N11" s="1083"/>
      <c r="O11" s="1083"/>
      <c r="P11" s="1075"/>
      <c r="Q11" s="1083"/>
      <c r="R11" s="1083"/>
      <c r="S11" s="1083"/>
    </row>
    <row r="12" spans="1:19" s="21" customFormat="1">
      <c r="A12" s="1094"/>
      <c r="B12" s="1075"/>
      <c r="C12" s="22" t="s">
        <v>722</v>
      </c>
      <c r="D12" s="22" t="s">
        <v>722</v>
      </c>
      <c r="E12" s="22" t="s">
        <v>722</v>
      </c>
      <c r="F12" s="22" t="s">
        <v>722</v>
      </c>
      <c r="G12" s="22" t="s">
        <v>723</v>
      </c>
      <c r="H12" s="22"/>
      <c r="I12" s="1075"/>
      <c r="J12" s="1075"/>
      <c r="K12" s="1075"/>
      <c r="L12" s="22"/>
      <c r="M12" s="1075"/>
      <c r="N12" s="1075"/>
      <c r="O12" s="1075"/>
      <c r="P12" s="1075"/>
      <c r="Q12" s="1075"/>
      <c r="R12" s="1075"/>
      <c r="S12" s="1075"/>
    </row>
    <row r="13" spans="1:19" s="21" customFormat="1">
      <c r="A13" s="1094"/>
      <c r="B13" s="1078" t="s">
        <v>724</v>
      </c>
      <c r="C13" s="1078" t="str">
        <f>"OF 12-31-"&amp;TCOS!L4-1</f>
        <v>OF 12-31-2019</v>
      </c>
      <c r="D13" s="1078" t="str">
        <f>"OF 12-31-"&amp;TCOS!L4</f>
        <v>OF 12-31-2020</v>
      </c>
      <c r="E13" s="1078" t="str">
        <f>"OF 12-31-"&amp;TCOS!L4-1</f>
        <v>OF 12-31-2019</v>
      </c>
      <c r="F13" s="1078" t="str">
        <f>"OF 12-31-"&amp;TCOS!L4</f>
        <v>OF 12-31-2020</v>
      </c>
      <c r="G13" s="1078" t="s">
        <v>725</v>
      </c>
      <c r="H13" s="1078"/>
      <c r="I13" s="1078" t="s">
        <v>726</v>
      </c>
      <c r="J13" s="1078" t="s">
        <v>727</v>
      </c>
      <c r="K13" s="1078" t="s">
        <v>728</v>
      </c>
      <c r="L13" s="1078"/>
      <c r="M13" s="1078" t="s">
        <v>726</v>
      </c>
      <c r="N13" s="1078" t="s">
        <v>727</v>
      </c>
      <c r="O13" s="1078" t="s">
        <v>728</v>
      </c>
      <c r="P13" s="1075"/>
      <c r="Q13" s="1078" t="s">
        <v>726</v>
      </c>
      <c r="R13" s="1078" t="s">
        <v>727</v>
      </c>
      <c r="S13" s="1078" t="s">
        <v>728</v>
      </c>
    </row>
    <row r="14" spans="1:19">
      <c r="A14" s="1094"/>
      <c r="B14" s="1075"/>
      <c r="C14" s="1075"/>
      <c r="D14" s="1075"/>
      <c r="E14" s="1075"/>
      <c r="F14" s="1075"/>
      <c r="G14" s="1075"/>
      <c r="H14" s="1075"/>
      <c r="I14" s="1075"/>
      <c r="J14" s="1075"/>
      <c r="K14" s="1075"/>
      <c r="L14" s="1075"/>
      <c r="M14" s="1075"/>
      <c r="N14" s="1075"/>
      <c r="O14" s="1075"/>
      <c r="P14" s="1075"/>
      <c r="Q14" s="1075"/>
      <c r="R14" s="1075"/>
      <c r="S14" s="1075"/>
    </row>
    <row r="15" spans="1:19">
      <c r="A15" s="1115">
        <v>1</v>
      </c>
      <c r="B15" s="884" t="s">
        <v>729</v>
      </c>
      <c r="C15" s="1085"/>
      <c r="D15" s="1085"/>
      <c r="E15" s="1085"/>
      <c r="F15" s="1086"/>
      <c r="G15" s="1085"/>
      <c r="H15" s="1085"/>
      <c r="I15" s="1085"/>
      <c r="J15" s="1085"/>
      <c r="K15" s="1085"/>
      <c r="L15" s="1085"/>
      <c r="M15" s="1085"/>
      <c r="N15" s="1085"/>
      <c r="O15" s="1085"/>
      <c r="P15" s="1085"/>
      <c r="Q15" s="1085"/>
      <c r="R15" s="1085"/>
      <c r="S15" s="1085"/>
    </row>
    <row r="16" spans="1:19">
      <c r="A16" s="1115">
        <v>2.0099999999999998</v>
      </c>
      <c r="B16" s="884"/>
      <c r="C16" s="1085"/>
      <c r="D16" s="1085"/>
      <c r="E16" s="1085"/>
      <c r="F16" s="1085"/>
      <c r="G16" s="1085"/>
      <c r="H16" s="1085"/>
      <c r="I16" s="1085"/>
      <c r="J16" s="1085"/>
      <c r="K16" s="1085"/>
      <c r="L16" s="1085"/>
      <c r="M16" s="1085"/>
      <c r="N16" s="1085"/>
      <c r="O16" s="1085"/>
      <c r="P16" s="1085"/>
      <c r="Q16" s="1085"/>
      <c r="R16" s="1085"/>
      <c r="S16" s="1085"/>
    </row>
    <row r="17" spans="1:19">
      <c r="A17" s="1115">
        <v>2.02</v>
      </c>
      <c r="B17" s="884" t="s">
        <v>1031</v>
      </c>
      <c r="C17" s="1085">
        <f>SUM(M17:O17)</f>
        <v>51367232.520000003</v>
      </c>
      <c r="D17" s="1085">
        <f>SUM(Q17:S17)</f>
        <v>47839411.109999999</v>
      </c>
      <c r="E17" s="1085"/>
      <c r="F17" s="1085"/>
      <c r="G17" s="1085">
        <f>ROUND(SUM(C17:F17)/2,0)</f>
        <v>49603322</v>
      </c>
      <c r="H17" s="1085"/>
      <c r="I17" s="1085">
        <f>(M17+Q17)/2</f>
        <v>49603321.814999998</v>
      </c>
      <c r="J17" s="1085">
        <f>(N17+R17)/2</f>
        <v>0</v>
      </c>
      <c r="K17" s="1085">
        <f>(O17+S17)/2</f>
        <v>0</v>
      </c>
      <c r="L17" s="1085"/>
      <c r="M17" s="884">
        <v>51367232.520000003</v>
      </c>
      <c r="N17" s="884">
        <v>0</v>
      </c>
      <c r="O17" s="884">
        <v>0</v>
      </c>
      <c r="P17" s="1085"/>
      <c r="Q17" s="884">
        <v>47839411.109999999</v>
      </c>
      <c r="R17" s="884">
        <v>0</v>
      </c>
      <c r="S17" s="884">
        <v>0</v>
      </c>
    </row>
    <row r="18" spans="1:19">
      <c r="A18" s="1115">
        <v>2.0299999999999998</v>
      </c>
      <c r="B18" s="884"/>
      <c r="C18" s="1085"/>
      <c r="D18" s="1085"/>
      <c r="E18" s="1085"/>
      <c r="F18" s="1085"/>
      <c r="G18" s="1085"/>
      <c r="H18" s="1085"/>
      <c r="I18" s="1085"/>
      <c r="J18" s="1085"/>
      <c r="K18" s="1085"/>
      <c r="L18" s="1085"/>
      <c r="M18" s="1085"/>
      <c r="N18" s="1085"/>
      <c r="O18" s="1085"/>
      <c r="P18" s="1085"/>
      <c r="Q18" s="1085"/>
      <c r="R18" s="1085"/>
      <c r="S18" s="1085"/>
    </row>
    <row r="19" spans="1:19">
      <c r="A19" s="1115">
        <v>2.04</v>
      </c>
      <c r="B19" s="884" t="s">
        <v>1032</v>
      </c>
      <c r="C19" s="1085">
        <f>-E19</f>
        <v>0</v>
      </c>
      <c r="D19" s="1085">
        <f>-F19</f>
        <v>0</v>
      </c>
      <c r="E19" s="1085">
        <v>0</v>
      </c>
      <c r="F19" s="1085">
        <v>0</v>
      </c>
      <c r="G19" s="1085">
        <f>ROUND(SUM(C19:F19)/2,0)</f>
        <v>0</v>
      </c>
      <c r="H19" s="1085"/>
      <c r="I19" s="1085"/>
      <c r="J19" s="1085"/>
      <c r="K19" s="1085"/>
      <c r="L19" s="1085"/>
      <c r="M19" s="1085"/>
      <c r="N19" s="1085"/>
      <c r="O19" s="1085"/>
      <c r="P19" s="1085"/>
      <c r="Q19" s="1085"/>
      <c r="R19" s="1085"/>
      <c r="S19" s="1085"/>
    </row>
    <row r="20" spans="1:19">
      <c r="A20" s="1115">
        <v>2.0499999999999998</v>
      </c>
      <c r="B20" s="884" t="s">
        <v>1033</v>
      </c>
      <c r="C20" s="1085">
        <f t="shared" ref="C20:C21" si="0">-E20</f>
        <v>0</v>
      </c>
      <c r="D20" s="1085">
        <f t="shared" ref="D20:D21" si="1">-F20</f>
        <v>0</v>
      </c>
      <c r="E20" s="1085">
        <v>0</v>
      </c>
      <c r="F20" s="1085">
        <v>0</v>
      </c>
      <c r="G20" s="1085">
        <f>ROUND(SUM(C20:F20)/2,0)</f>
        <v>0</v>
      </c>
      <c r="H20" s="1085"/>
      <c r="I20" s="1085"/>
      <c r="J20" s="1085"/>
      <c r="K20" s="1085"/>
      <c r="L20" s="1085"/>
      <c r="M20" s="1085"/>
      <c r="N20" s="1085"/>
      <c r="O20" s="1085"/>
      <c r="P20" s="1085"/>
      <c r="Q20" s="1085"/>
      <c r="R20" s="1085"/>
      <c r="S20" s="1085"/>
    </row>
    <row r="21" spans="1:19">
      <c r="A21" s="1115">
        <v>2.06</v>
      </c>
      <c r="B21" s="884" t="s">
        <v>1034</v>
      </c>
      <c r="C21" s="1085">
        <f t="shared" si="0"/>
        <v>-19624152.27</v>
      </c>
      <c r="D21" s="1085">
        <f t="shared" si="1"/>
        <v>-17694477.27</v>
      </c>
      <c r="E21" s="1085">
        <v>19624152.27</v>
      </c>
      <c r="F21" s="1085">
        <v>17694477.27</v>
      </c>
      <c r="G21" s="1085">
        <f>ROUND(SUM(C21:F21)/2,0)</f>
        <v>0</v>
      </c>
      <c r="H21" s="1085"/>
      <c r="I21" s="1085"/>
      <c r="J21" s="1085"/>
      <c r="K21" s="1085"/>
      <c r="L21" s="1085"/>
      <c r="M21" s="1085"/>
      <c r="N21" s="1085"/>
      <c r="O21" s="1085"/>
      <c r="P21" s="1085"/>
      <c r="Q21" s="1085"/>
      <c r="R21" s="1085"/>
      <c r="S21" s="1085"/>
    </row>
    <row r="22" spans="1:19">
      <c r="A22" s="1111"/>
      <c r="B22" s="1075"/>
      <c r="C22" s="1085"/>
      <c r="D22" s="1085"/>
      <c r="E22" s="1085"/>
      <c r="F22" s="1085"/>
      <c r="G22" s="1085"/>
      <c r="H22" s="1085"/>
      <c r="I22" s="1085"/>
      <c r="J22" s="1085"/>
      <c r="K22" s="1085"/>
      <c r="L22" s="1085"/>
      <c r="M22" s="1085"/>
      <c r="N22" s="1085"/>
      <c r="O22" s="1085"/>
      <c r="P22" s="1085"/>
      <c r="Q22" s="1085"/>
      <c r="R22" s="1085"/>
      <c r="S22" s="1085"/>
    </row>
    <row r="23" spans="1:19" ht="13.5" thickBot="1">
      <c r="A23" s="1095">
        <v>3</v>
      </c>
      <c r="B23" s="257" t="s">
        <v>730</v>
      </c>
      <c r="C23" s="1088">
        <f>SUM(C17:C22)</f>
        <v>31743080.250000004</v>
      </c>
      <c r="D23" s="1088">
        <f>SUM(D17:D22)</f>
        <v>30144933.84</v>
      </c>
      <c r="E23" s="1088">
        <f>SUM(E17:E22)</f>
        <v>19624152.27</v>
      </c>
      <c r="F23" s="1088">
        <f>SUM(F17:F22)</f>
        <v>17694477.27</v>
      </c>
      <c r="G23" s="1088">
        <f>SUM(G17:G22)</f>
        <v>49603322</v>
      </c>
      <c r="H23" s="1085"/>
      <c r="I23" s="1088">
        <f>SUM(I17:I22)</f>
        <v>49603321.814999998</v>
      </c>
      <c r="J23" s="1088">
        <f>SUM(J17:J22)</f>
        <v>0</v>
      </c>
      <c r="K23" s="1088">
        <f>SUM(K17:K22)</f>
        <v>0</v>
      </c>
      <c r="L23" s="1085"/>
      <c r="M23" s="1088">
        <f>SUM(M17:M22)</f>
        <v>51367232.520000003</v>
      </c>
      <c r="N23" s="1088">
        <f>SUM(N17:N22)</f>
        <v>0</v>
      </c>
      <c r="O23" s="1088">
        <f>SUM(O17:O22)</f>
        <v>0</v>
      </c>
      <c r="P23" s="1085"/>
      <c r="Q23" s="1088">
        <f>SUM(Q17:Q22)</f>
        <v>47839411.109999999</v>
      </c>
      <c r="R23" s="1088">
        <f>SUM(R17:R22)</f>
        <v>0</v>
      </c>
      <c r="S23" s="1088">
        <f>SUM(S17:S22)</f>
        <v>0</v>
      </c>
    </row>
    <row r="24" spans="1:19" ht="13.5" thickTop="1">
      <c r="A24" s="1095">
        <f>A23+1</f>
        <v>4</v>
      </c>
      <c r="B24" s="1162" t="s">
        <v>748</v>
      </c>
      <c r="C24" s="1108">
        <v>0</v>
      </c>
      <c r="D24" s="1108">
        <v>0</v>
      </c>
      <c r="E24" s="1108">
        <v>0</v>
      </c>
      <c r="F24" s="1108">
        <v>0</v>
      </c>
      <c r="G24" s="1108">
        <v>0</v>
      </c>
      <c r="H24" s="1109"/>
      <c r="I24" s="1108">
        <v>0</v>
      </c>
      <c r="J24" s="1108">
        <v>0</v>
      </c>
      <c r="K24" s="1108">
        <v>0</v>
      </c>
      <c r="L24" s="1109"/>
      <c r="M24" s="1108">
        <v>0</v>
      </c>
      <c r="N24" s="1108">
        <v>0</v>
      </c>
      <c r="O24" s="1108">
        <v>0</v>
      </c>
      <c r="P24" s="1109"/>
      <c r="Q24" s="1108">
        <v>0</v>
      </c>
      <c r="R24" s="1108">
        <v>0</v>
      </c>
      <c r="S24" s="1108">
        <v>0</v>
      </c>
    </row>
    <row r="25" spans="1:19">
      <c r="A25" s="1095"/>
      <c r="B25" s="1075"/>
      <c r="C25" s="1085"/>
      <c r="D25" s="1085"/>
      <c r="E25" s="1085"/>
      <c r="F25" s="1085"/>
      <c r="G25" s="1085"/>
      <c r="H25" s="1085"/>
      <c r="I25" s="1085"/>
      <c r="J25" s="1085"/>
      <c r="K25" s="1085"/>
      <c r="L25" s="1085"/>
      <c r="M25" s="1085"/>
      <c r="N25" s="1085"/>
      <c r="O25" s="1085"/>
      <c r="P25" s="1085"/>
      <c r="Q25" s="1085"/>
      <c r="R25" s="1085"/>
      <c r="S25" s="1085"/>
    </row>
    <row r="26" spans="1:19">
      <c r="A26" s="1095">
        <v>5</v>
      </c>
      <c r="B26" s="1076" t="s">
        <v>731</v>
      </c>
      <c r="C26" s="1085"/>
      <c r="D26" s="1085"/>
      <c r="E26" s="1085"/>
      <c r="F26" s="1085"/>
      <c r="G26" s="1085"/>
      <c r="H26" s="1085"/>
      <c r="I26" s="1085"/>
      <c r="J26" s="1085"/>
      <c r="K26" s="1085"/>
      <c r="L26" s="1085"/>
      <c r="M26" s="1085"/>
      <c r="N26" s="1085"/>
      <c r="O26" s="1085"/>
      <c r="P26" s="1085"/>
      <c r="Q26" s="1085"/>
      <c r="R26" s="1085"/>
      <c r="S26" s="1085"/>
    </row>
    <row r="27" spans="1:19">
      <c r="A27" s="1112"/>
      <c r="B27" s="1075"/>
      <c r="C27" s="1085"/>
      <c r="D27" s="1085"/>
      <c r="E27" s="1085"/>
      <c r="F27" s="1085"/>
      <c r="G27" s="1085"/>
      <c r="H27" s="1085"/>
      <c r="I27" s="1085"/>
      <c r="J27" s="1085"/>
      <c r="K27" s="1085"/>
      <c r="L27" s="1085"/>
      <c r="M27" s="1085"/>
      <c r="N27" s="1085"/>
      <c r="O27" s="1085"/>
      <c r="P27" s="1085"/>
      <c r="Q27" s="1085"/>
      <c r="R27" s="1085"/>
      <c r="S27" s="1085"/>
    </row>
    <row r="28" spans="1:19">
      <c r="A28" s="1115">
        <v>5.01</v>
      </c>
      <c r="B28" s="884" t="s">
        <v>1035</v>
      </c>
      <c r="C28" s="884">
        <f t="shared" ref="C28:C60" si="2">SUM(M28:O28)</f>
        <v>116362157.69</v>
      </c>
      <c r="D28" s="884">
        <f t="shared" ref="D28:D60" si="3">SUM(Q28:S28)</f>
        <v>112367312.28</v>
      </c>
      <c r="E28" s="1085"/>
      <c r="F28" s="1085"/>
      <c r="G28" s="1085">
        <f t="shared" ref="G28:G51" si="4">ROUND(SUM(C28:F28)/2,0)</f>
        <v>114364735</v>
      </c>
      <c r="H28" s="1085"/>
      <c r="I28" s="1085">
        <f t="shared" ref="I28:K60" si="5">(M28+Q28)/2</f>
        <v>32659028.969999999</v>
      </c>
      <c r="J28" s="1085">
        <f t="shared" si="5"/>
        <v>40184579.924999997</v>
      </c>
      <c r="K28" s="1085">
        <f t="shared" si="5"/>
        <v>41521126.090000004</v>
      </c>
      <c r="L28" s="1085"/>
      <c r="M28" s="884">
        <v>33410774.789999999</v>
      </c>
      <c r="N28" s="884">
        <v>40358698.189999998</v>
      </c>
      <c r="O28" s="884">
        <v>42592684.710000001</v>
      </c>
      <c r="P28" s="1085"/>
      <c r="Q28" s="884">
        <v>31907283.149999999</v>
      </c>
      <c r="R28" s="884">
        <v>40010461.660000004</v>
      </c>
      <c r="S28" s="884">
        <v>40449567.470000006</v>
      </c>
    </row>
    <row r="29" spans="1:19">
      <c r="A29" s="1115">
        <f>A28+0.01</f>
        <v>5.0199999999999996</v>
      </c>
      <c r="B29" s="884" t="s">
        <v>1036</v>
      </c>
      <c r="C29" s="884">
        <f>SUM(M29:O29)</f>
        <v>-169</v>
      </c>
      <c r="D29" s="884">
        <f>SUM(Q29:S29)</f>
        <v>-168.6</v>
      </c>
      <c r="E29" s="1085"/>
      <c r="F29" s="1085"/>
      <c r="G29" s="1085">
        <f t="shared" si="4"/>
        <v>-169</v>
      </c>
      <c r="H29" s="1085"/>
      <c r="I29" s="1085">
        <f t="shared" si="5"/>
        <v>-168.8</v>
      </c>
      <c r="J29" s="1085">
        <f t="shared" si="5"/>
        <v>0</v>
      </c>
      <c r="K29" s="1085">
        <f t="shared" si="5"/>
        <v>0</v>
      </c>
      <c r="L29" s="1085"/>
      <c r="M29" s="884">
        <v>-169</v>
      </c>
      <c r="N29" s="884">
        <v>0</v>
      </c>
      <c r="O29" s="884">
        <v>0</v>
      </c>
      <c r="P29" s="1085"/>
      <c r="Q29" s="884">
        <v>-168.6</v>
      </c>
      <c r="R29" s="884">
        <v>0</v>
      </c>
      <c r="S29" s="884">
        <v>0</v>
      </c>
    </row>
    <row r="30" spans="1:19">
      <c r="A30" s="1115">
        <f t="shared" ref="A30:A31" si="6">A29+0.01</f>
        <v>5.0299999999999994</v>
      </c>
      <c r="B30" s="884" t="s">
        <v>1037</v>
      </c>
      <c r="C30" s="884">
        <f t="shared" ref="C30" si="7">SUM(M30:O30)</f>
        <v>0</v>
      </c>
      <c r="D30" s="884">
        <f t="shared" ref="D30" si="8">SUM(Q30:S30)</f>
        <v>0</v>
      </c>
      <c r="E30" s="1085"/>
      <c r="F30" s="1085"/>
      <c r="G30" s="1085">
        <f t="shared" ref="G30" si="9">ROUND(SUM(C30:F30)/2,0)</f>
        <v>0</v>
      </c>
      <c r="H30" s="1085"/>
      <c r="I30" s="1085">
        <f t="shared" ref="I30" si="10">(M30+Q30)/2</f>
        <v>0</v>
      </c>
      <c r="J30" s="1085">
        <f t="shared" ref="J30" si="11">(N30+R30)/2</f>
        <v>0</v>
      </c>
      <c r="K30" s="1085">
        <f t="shared" ref="K30" si="12">(O30+S30)/2</f>
        <v>0</v>
      </c>
      <c r="L30" s="1085"/>
      <c r="M30" s="1149">
        <v>0</v>
      </c>
      <c r="N30" s="1149">
        <v>0</v>
      </c>
      <c r="O30" s="884">
        <v>0</v>
      </c>
      <c r="P30" s="1085"/>
      <c r="Q30" s="1149">
        <v>0</v>
      </c>
      <c r="R30" s="1149">
        <v>0</v>
      </c>
      <c r="S30" s="884">
        <v>0</v>
      </c>
    </row>
    <row r="31" spans="1:19">
      <c r="A31" s="1115">
        <f t="shared" si="6"/>
        <v>5.0399999999999991</v>
      </c>
      <c r="B31" s="884" t="s">
        <v>1038</v>
      </c>
      <c r="C31" s="884">
        <f>SUM(M31:O31)</f>
        <v>1089.48</v>
      </c>
      <c r="D31" s="884">
        <f>SUM(Q31:S31)</f>
        <v>761.04</v>
      </c>
      <c r="E31" s="1085"/>
      <c r="F31" s="1085"/>
      <c r="G31" s="1085">
        <f t="shared" si="4"/>
        <v>925</v>
      </c>
      <c r="H31" s="1085"/>
      <c r="I31" s="1085">
        <f t="shared" si="5"/>
        <v>303.76499999999999</v>
      </c>
      <c r="J31" s="1085">
        <f t="shared" si="5"/>
        <v>691.84500000000003</v>
      </c>
      <c r="K31" s="1085">
        <f t="shared" si="5"/>
        <v>-70.349999999999994</v>
      </c>
      <c r="L31" s="1085"/>
      <c r="M31" s="884">
        <v>357.84</v>
      </c>
      <c r="N31" s="884">
        <v>814.59</v>
      </c>
      <c r="O31" s="884">
        <v>-82.95</v>
      </c>
      <c r="P31" s="1085"/>
      <c r="Q31" s="884">
        <v>249.69</v>
      </c>
      <c r="R31" s="884">
        <v>569.1</v>
      </c>
      <c r="S31" s="884">
        <v>-57.75</v>
      </c>
    </row>
    <row r="32" spans="1:19">
      <c r="A32" s="1115">
        <f t="shared" ref="A32:A63" si="13">A31+0.01</f>
        <v>5.0499999999999989</v>
      </c>
      <c r="B32" s="884" t="s">
        <v>1039</v>
      </c>
      <c r="C32" s="884">
        <f t="shared" si="2"/>
        <v>7649</v>
      </c>
      <c r="D32" s="884">
        <f t="shared" si="3"/>
        <v>4026.75</v>
      </c>
      <c r="E32" s="1085"/>
      <c r="F32" s="1085"/>
      <c r="G32" s="1085">
        <f t="shared" si="4"/>
        <v>5838</v>
      </c>
      <c r="H32" s="1085"/>
      <c r="I32" s="1085">
        <f t="shared" si="5"/>
        <v>0</v>
      </c>
      <c r="J32" s="1085">
        <f t="shared" si="5"/>
        <v>0</v>
      </c>
      <c r="K32" s="1085">
        <f t="shared" si="5"/>
        <v>5837.875</v>
      </c>
      <c r="L32" s="1085"/>
      <c r="M32" s="884">
        <v>0</v>
      </c>
      <c r="N32" s="884">
        <v>0</v>
      </c>
      <c r="O32" s="884">
        <v>7649</v>
      </c>
      <c r="P32" s="1085"/>
      <c r="Q32" s="884">
        <v>0</v>
      </c>
      <c r="R32" s="884">
        <v>0</v>
      </c>
      <c r="S32" s="884">
        <v>4026.75</v>
      </c>
    </row>
    <row r="33" spans="1:19">
      <c r="A33" s="1115">
        <f t="shared" si="13"/>
        <v>5.0599999999999987</v>
      </c>
      <c r="B33" s="884" t="s">
        <v>1040</v>
      </c>
      <c r="C33" s="884">
        <f t="shared" ref="C33:C40" si="14">SUM(M33:O33)</f>
        <v>-18792.53</v>
      </c>
      <c r="D33" s="884">
        <f t="shared" ref="D33:D40" si="15">SUM(Q33:S33)</f>
        <v>-18792.53</v>
      </c>
      <c r="E33" s="1085"/>
      <c r="F33" s="1085"/>
      <c r="G33" s="1085">
        <f t="shared" si="4"/>
        <v>-18793</v>
      </c>
      <c r="H33" s="1085"/>
      <c r="I33" s="1085">
        <f t="shared" si="5"/>
        <v>0</v>
      </c>
      <c r="J33" s="1085">
        <f t="shared" si="5"/>
        <v>-18792.53</v>
      </c>
      <c r="K33" s="1085">
        <f t="shared" si="5"/>
        <v>0</v>
      </c>
      <c r="L33" s="1085"/>
      <c r="M33" s="884">
        <v>0</v>
      </c>
      <c r="N33" s="884">
        <v>-18792.53</v>
      </c>
      <c r="O33" s="884">
        <v>0</v>
      </c>
      <c r="P33" s="1085"/>
      <c r="Q33" s="884">
        <v>0</v>
      </c>
      <c r="R33" s="884">
        <v>-18792.53</v>
      </c>
      <c r="S33" s="884">
        <v>0</v>
      </c>
    </row>
    <row r="34" spans="1:19">
      <c r="A34" s="1115">
        <f t="shared" si="13"/>
        <v>5.0699999999999985</v>
      </c>
      <c r="B34" s="884" t="s">
        <v>1041</v>
      </c>
      <c r="C34" s="884">
        <f t="shared" si="14"/>
        <v>645970</v>
      </c>
      <c r="D34" s="884">
        <f t="shared" si="15"/>
        <v>645970.08000000007</v>
      </c>
      <c r="E34" s="1085"/>
      <c r="F34" s="1085"/>
      <c r="G34" s="1085">
        <f t="shared" si="4"/>
        <v>645970</v>
      </c>
      <c r="H34" s="1085"/>
      <c r="I34" s="1085">
        <f t="shared" si="5"/>
        <v>638728.01</v>
      </c>
      <c r="J34" s="1085">
        <f t="shared" si="5"/>
        <v>7242.0300000000007</v>
      </c>
      <c r="K34" s="1085">
        <f t="shared" si="5"/>
        <v>0</v>
      </c>
      <c r="L34" s="1085"/>
      <c r="M34" s="1149">
        <v>638728</v>
      </c>
      <c r="N34" s="1149">
        <v>7242</v>
      </c>
      <c r="O34" s="884">
        <v>0</v>
      </c>
      <c r="P34" s="1085"/>
      <c r="Q34" s="1149">
        <v>638728.02</v>
      </c>
      <c r="R34" s="1149">
        <v>7242.06</v>
      </c>
      <c r="S34" s="884">
        <v>0</v>
      </c>
    </row>
    <row r="35" spans="1:19">
      <c r="A35" s="1115">
        <f t="shared" si="13"/>
        <v>5.0799999999999983</v>
      </c>
      <c r="B35" s="884" t="s">
        <v>1042</v>
      </c>
      <c r="C35" s="884">
        <f t="shared" si="14"/>
        <v>2848868.79</v>
      </c>
      <c r="D35" s="884">
        <f t="shared" si="15"/>
        <v>2848868.79</v>
      </c>
      <c r="E35" s="1085"/>
      <c r="F35" s="1085"/>
      <c r="G35" s="1085">
        <f t="shared" si="4"/>
        <v>2848869</v>
      </c>
      <c r="H35" s="1085"/>
      <c r="I35" s="1085">
        <f t="shared" si="5"/>
        <v>0</v>
      </c>
      <c r="J35" s="1085">
        <f t="shared" si="5"/>
        <v>2848868.79</v>
      </c>
      <c r="K35" s="1085">
        <f t="shared" si="5"/>
        <v>0</v>
      </c>
      <c r="L35" s="1085"/>
      <c r="M35" s="884">
        <v>0</v>
      </c>
      <c r="N35" s="884">
        <v>2848868.79</v>
      </c>
      <c r="O35" s="884">
        <v>0</v>
      </c>
      <c r="P35" s="1085"/>
      <c r="Q35" s="884">
        <v>0</v>
      </c>
      <c r="R35" s="884">
        <v>2848868.79</v>
      </c>
      <c r="S35" s="884">
        <v>0</v>
      </c>
    </row>
    <row r="36" spans="1:19">
      <c r="A36" s="1115">
        <f t="shared" si="13"/>
        <v>5.0899999999999981</v>
      </c>
      <c r="B36" s="884" t="s">
        <v>1043</v>
      </c>
      <c r="C36" s="884">
        <f>SUM(M36:O36)</f>
        <v>14831632.93</v>
      </c>
      <c r="D36" s="884">
        <f t="shared" si="15"/>
        <v>15366024.58</v>
      </c>
      <c r="E36" s="1090"/>
      <c r="F36" s="1090"/>
      <c r="G36" s="1090">
        <f>ROUND(SUM(C36:F36)/2,0)</f>
        <v>15098829</v>
      </c>
      <c r="H36" s="1090"/>
      <c r="I36" s="1090">
        <f t="shared" si="5"/>
        <v>15098828.754999999</v>
      </c>
      <c r="J36" s="1090">
        <f t="shared" si="5"/>
        <v>0</v>
      </c>
      <c r="K36" s="1090">
        <f t="shared" si="5"/>
        <v>0</v>
      </c>
      <c r="L36" s="1090"/>
      <c r="M36" s="884">
        <v>14831632.93</v>
      </c>
      <c r="N36" s="884">
        <v>0</v>
      </c>
      <c r="O36" s="884">
        <v>0</v>
      </c>
      <c r="P36" s="1090"/>
      <c r="Q36" s="884">
        <v>15366024.58</v>
      </c>
      <c r="R36" s="884">
        <v>0</v>
      </c>
      <c r="S36" s="884">
        <v>0</v>
      </c>
    </row>
    <row r="37" spans="1:19">
      <c r="A37" s="1115">
        <f t="shared" si="13"/>
        <v>5.0999999999999979</v>
      </c>
      <c r="B37" s="884" t="s">
        <v>1140</v>
      </c>
      <c r="C37" s="884">
        <f t="shared" ref="C37" si="16">SUM(M37:O37)</f>
        <v>-869144.01</v>
      </c>
      <c r="D37" s="884">
        <f t="shared" ref="D37" si="17">SUM(Q37:S37)</f>
        <v>0</v>
      </c>
      <c r="E37" s="1085"/>
      <c r="F37" s="1085"/>
      <c r="G37" s="1085">
        <f t="shared" ref="G37" si="18">ROUND(SUM(C37:F37)/2,0)</f>
        <v>-434572</v>
      </c>
      <c r="H37" s="1085"/>
      <c r="I37" s="1085">
        <f t="shared" ref="I37" si="19">(M37+Q37)/2</f>
        <v>0</v>
      </c>
      <c r="J37" s="1085">
        <f t="shared" ref="J37" si="20">(N37+R37)/2</f>
        <v>-434572.005</v>
      </c>
      <c r="K37" s="1085">
        <f t="shared" ref="K37" si="21">(O37+S37)/2</f>
        <v>0</v>
      </c>
      <c r="L37" s="1085"/>
      <c r="M37" s="884"/>
      <c r="N37" s="884">
        <v>-869144.01</v>
      </c>
      <c r="O37" s="884">
        <v>0</v>
      </c>
      <c r="P37" s="1085"/>
      <c r="Q37" s="884">
        <v>0</v>
      </c>
      <c r="R37" s="884">
        <v>0</v>
      </c>
      <c r="S37" s="884">
        <v>0</v>
      </c>
    </row>
    <row r="38" spans="1:19">
      <c r="A38" s="1115">
        <f t="shared" si="13"/>
        <v>5.1099999999999977</v>
      </c>
      <c r="B38" s="884" t="s">
        <v>1044</v>
      </c>
      <c r="C38" s="884">
        <f t="shared" si="14"/>
        <v>2313586</v>
      </c>
      <c r="D38" s="884">
        <f t="shared" si="15"/>
        <v>2103260.46</v>
      </c>
      <c r="E38" s="1085"/>
      <c r="F38" s="1085"/>
      <c r="G38" s="1085">
        <f t="shared" si="4"/>
        <v>2208423</v>
      </c>
      <c r="H38" s="1085"/>
      <c r="I38" s="1085">
        <f t="shared" si="5"/>
        <v>2208423.23</v>
      </c>
      <c r="J38" s="1085">
        <f t="shared" si="5"/>
        <v>0</v>
      </c>
      <c r="K38" s="1085">
        <f t="shared" si="5"/>
        <v>0</v>
      </c>
      <c r="L38" s="1085"/>
      <c r="M38" s="884">
        <v>2313586</v>
      </c>
      <c r="N38" s="884">
        <v>0</v>
      </c>
      <c r="O38" s="884">
        <v>0</v>
      </c>
      <c r="P38" s="1085"/>
      <c r="Q38" s="884">
        <v>2103260.46</v>
      </c>
      <c r="R38" s="884">
        <v>0</v>
      </c>
      <c r="S38" s="884">
        <v>0</v>
      </c>
    </row>
    <row r="39" spans="1:19">
      <c r="A39" s="1115">
        <f t="shared" si="13"/>
        <v>5.1199999999999974</v>
      </c>
      <c r="B39" s="884" t="s">
        <v>1045</v>
      </c>
      <c r="C39" s="884">
        <f t="shared" si="14"/>
        <v>0</v>
      </c>
      <c r="D39" s="884">
        <f t="shared" si="15"/>
        <v>0</v>
      </c>
      <c r="E39" s="1085"/>
      <c r="F39" s="1085"/>
      <c r="G39" s="1085">
        <f t="shared" si="4"/>
        <v>0</v>
      </c>
      <c r="H39" s="1085"/>
      <c r="I39" s="1085">
        <f t="shared" si="5"/>
        <v>0</v>
      </c>
      <c r="J39" s="1085">
        <f t="shared" si="5"/>
        <v>0</v>
      </c>
      <c r="K39" s="1085">
        <f t="shared" si="5"/>
        <v>0</v>
      </c>
      <c r="L39" s="1085"/>
      <c r="M39" s="884">
        <v>0</v>
      </c>
      <c r="N39" s="884">
        <v>0</v>
      </c>
      <c r="O39" s="884">
        <v>0</v>
      </c>
      <c r="P39" s="1085"/>
      <c r="Q39" s="884">
        <v>0</v>
      </c>
      <c r="R39" s="884">
        <v>0</v>
      </c>
      <c r="S39" s="884">
        <v>0</v>
      </c>
    </row>
    <row r="40" spans="1:19">
      <c r="A40" s="1115">
        <f t="shared" si="13"/>
        <v>5.1299999999999972</v>
      </c>
      <c r="B40" s="884" t="s">
        <v>1046</v>
      </c>
      <c r="C40" s="884">
        <f t="shared" si="14"/>
        <v>20636560.119999997</v>
      </c>
      <c r="D40" s="884">
        <f t="shared" si="15"/>
        <v>19663927.5</v>
      </c>
      <c r="E40" s="1085"/>
      <c r="F40" s="1085"/>
      <c r="G40" s="1085">
        <f t="shared" si="4"/>
        <v>20150244</v>
      </c>
      <c r="H40" s="1085"/>
      <c r="I40" s="1085">
        <f t="shared" si="5"/>
        <v>8871468.7100000009</v>
      </c>
      <c r="J40" s="1085">
        <f t="shared" si="5"/>
        <v>2178389.17</v>
      </c>
      <c r="K40" s="1085">
        <f t="shared" si="5"/>
        <v>9100385.9299999997</v>
      </c>
      <c r="L40" s="1085"/>
      <c r="M40" s="884">
        <v>9099318.6699999999</v>
      </c>
      <c r="N40" s="884">
        <v>2230459.87</v>
      </c>
      <c r="O40" s="884">
        <v>9306781.5800000001</v>
      </c>
      <c r="P40" s="1085"/>
      <c r="Q40" s="884">
        <v>8643618.75</v>
      </c>
      <c r="R40" s="884">
        <v>2126318.4700000002</v>
      </c>
      <c r="S40" s="884">
        <v>8893990.2800000012</v>
      </c>
    </row>
    <row r="41" spans="1:19">
      <c r="A41" s="1115">
        <f t="shared" si="13"/>
        <v>5.139999999999997</v>
      </c>
      <c r="B41" s="884" t="s">
        <v>1047</v>
      </c>
      <c r="C41" s="884">
        <f t="shared" si="2"/>
        <v>-805022</v>
      </c>
      <c r="D41" s="884">
        <f t="shared" si="3"/>
        <v>-805022.29</v>
      </c>
      <c r="E41" s="1085"/>
      <c r="F41" s="1085"/>
      <c r="G41" s="1085">
        <f t="shared" si="4"/>
        <v>-805022</v>
      </c>
      <c r="H41" s="1085"/>
      <c r="I41" s="1085">
        <f t="shared" si="5"/>
        <v>-805022.14500000002</v>
      </c>
      <c r="J41" s="1085">
        <f t="shared" si="5"/>
        <v>0</v>
      </c>
      <c r="K41" s="1085">
        <f t="shared" si="5"/>
        <v>0</v>
      </c>
      <c r="L41" s="1085"/>
      <c r="M41" s="884">
        <v>-805022</v>
      </c>
      <c r="N41" s="884">
        <v>0</v>
      </c>
      <c r="O41" s="884">
        <v>0</v>
      </c>
      <c r="P41" s="1085"/>
      <c r="Q41" s="884">
        <v>-805022.29</v>
      </c>
      <c r="R41" s="884">
        <v>0</v>
      </c>
      <c r="S41" s="884">
        <v>0</v>
      </c>
    </row>
    <row r="42" spans="1:19">
      <c r="A42" s="1115">
        <f t="shared" si="13"/>
        <v>5.1499999999999968</v>
      </c>
      <c r="B42" s="884" t="s">
        <v>1048</v>
      </c>
      <c r="C42" s="884">
        <f t="shared" si="2"/>
        <v>3020582.5199999996</v>
      </c>
      <c r="D42" s="884">
        <f t="shared" si="3"/>
        <v>3078257.4300000006</v>
      </c>
      <c r="E42" s="1085"/>
      <c r="F42" s="1085"/>
      <c r="G42" s="1085">
        <f t="shared" si="4"/>
        <v>3049420</v>
      </c>
      <c r="H42" s="1085"/>
      <c r="I42" s="1085">
        <f t="shared" si="5"/>
        <v>1300181.18</v>
      </c>
      <c r="J42" s="1085">
        <f t="shared" si="5"/>
        <v>1078352.7850000001</v>
      </c>
      <c r="K42" s="1085">
        <f t="shared" si="5"/>
        <v>670886.01</v>
      </c>
      <c r="L42" s="1085"/>
      <c r="M42" s="884">
        <v>1328969.7499999998</v>
      </c>
      <c r="N42" s="884">
        <v>1034559.2</v>
      </c>
      <c r="O42" s="884">
        <v>657053.56999999995</v>
      </c>
      <c r="P42" s="1085"/>
      <c r="Q42" s="884">
        <v>1271392.6100000001</v>
      </c>
      <c r="R42" s="884">
        <v>1122146.3700000001</v>
      </c>
      <c r="S42" s="884">
        <v>684718.45</v>
      </c>
    </row>
    <row r="43" spans="1:19">
      <c r="A43" s="1115">
        <f t="shared" si="13"/>
        <v>5.1599999999999966</v>
      </c>
      <c r="B43" s="884" t="s">
        <v>1049</v>
      </c>
      <c r="C43" s="884">
        <f t="shared" si="2"/>
        <v>57712.369999999995</v>
      </c>
      <c r="D43" s="884">
        <f t="shared" si="3"/>
        <v>53244.369999999995</v>
      </c>
      <c r="E43" s="1085"/>
      <c r="F43" s="1085"/>
      <c r="G43" s="1085">
        <f t="shared" si="4"/>
        <v>55478</v>
      </c>
      <c r="H43" s="1085"/>
      <c r="I43" s="1085">
        <f t="shared" si="5"/>
        <v>0</v>
      </c>
      <c r="J43" s="1085">
        <f t="shared" si="5"/>
        <v>55478.369999999995</v>
      </c>
      <c r="K43" s="1085">
        <f t="shared" si="5"/>
        <v>0</v>
      </c>
      <c r="L43" s="1085"/>
      <c r="M43" s="884">
        <v>0</v>
      </c>
      <c r="N43" s="884">
        <v>57712.369999999995</v>
      </c>
      <c r="O43" s="884">
        <v>0</v>
      </c>
      <c r="P43" s="1085"/>
      <c r="Q43" s="884">
        <v>0</v>
      </c>
      <c r="R43" s="884">
        <v>53244.369999999995</v>
      </c>
      <c r="S43" s="884">
        <v>0</v>
      </c>
    </row>
    <row r="44" spans="1:19">
      <c r="A44" s="1115">
        <f t="shared" si="13"/>
        <v>5.1699999999999964</v>
      </c>
      <c r="B44" s="884" t="s">
        <v>1050</v>
      </c>
      <c r="C44" s="884">
        <f t="shared" si="2"/>
        <v>0.26</v>
      </c>
      <c r="D44" s="884">
        <f t="shared" si="3"/>
        <v>0.26</v>
      </c>
      <c r="E44" s="1085"/>
      <c r="F44" s="1085"/>
      <c r="G44" s="1085">
        <f t="shared" si="4"/>
        <v>0</v>
      </c>
      <c r="H44" s="1085"/>
      <c r="I44" s="1085">
        <f t="shared" si="5"/>
        <v>0</v>
      </c>
      <c r="J44" s="1085">
        <f t="shared" si="5"/>
        <v>0.26</v>
      </c>
      <c r="K44" s="1085">
        <f t="shared" si="5"/>
        <v>0</v>
      </c>
      <c r="L44" s="1085"/>
      <c r="M44" s="884">
        <v>0</v>
      </c>
      <c r="N44" s="884">
        <v>0.26</v>
      </c>
      <c r="O44" s="884">
        <v>0</v>
      </c>
      <c r="P44" s="1085"/>
      <c r="Q44" s="884">
        <v>0</v>
      </c>
      <c r="R44" s="884">
        <v>0.26</v>
      </c>
      <c r="S44" s="884">
        <v>0</v>
      </c>
    </row>
    <row r="45" spans="1:19">
      <c r="A45" s="1115">
        <f t="shared" si="13"/>
        <v>5.1799999999999962</v>
      </c>
      <c r="B45" s="884" t="s">
        <v>1051</v>
      </c>
      <c r="C45" s="884">
        <f t="shared" si="2"/>
        <v>-0.13</v>
      </c>
      <c r="D45" s="884">
        <f t="shared" si="3"/>
        <v>-0.13</v>
      </c>
      <c r="E45" s="1085"/>
      <c r="F45" s="1085"/>
      <c r="G45" s="1085">
        <f t="shared" si="4"/>
        <v>0</v>
      </c>
      <c r="H45" s="1085"/>
      <c r="I45" s="1085">
        <f t="shared" si="5"/>
        <v>-0.1</v>
      </c>
      <c r="J45" s="1085">
        <f t="shared" si="5"/>
        <v>-0.03</v>
      </c>
      <c r="K45" s="1085">
        <f t="shared" si="5"/>
        <v>0</v>
      </c>
      <c r="L45" s="1085"/>
      <c r="M45" s="884">
        <v>-0.1</v>
      </c>
      <c r="N45" s="884">
        <v>-0.03</v>
      </c>
      <c r="O45" s="884">
        <v>0</v>
      </c>
      <c r="P45" s="1085"/>
      <c r="Q45" s="884">
        <v>-0.1</v>
      </c>
      <c r="R45" s="884">
        <v>-0.03</v>
      </c>
      <c r="S45" s="884">
        <v>0</v>
      </c>
    </row>
    <row r="46" spans="1:19">
      <c r="A46" s="1115">
        <f t="shared" si="13"/>
        <v>5.1899999999999959</v>
      </c>
      <c r="B46" s="884" t="s">
        <v>1052</v>
      </c>
      <c r="C46" s="884">
        <f t="shared" si="2"/>
        <v>-0.09</v>
      </c>
      <c r="D46" s="884">
        <f t="shared" si="3"/>
        <v>-0.09</v>
      </c>
      <c r="E46" s="1085"/>
      <c r="F46" s="1085"/>
      <c r="G46" s="1085">
        <f t="shared" si="4"/>
        <v>0</v>
      </c>
      <c r="H46" s="1085"/>
      <c r="I46" s="1085">
        <f t="shared" si="5"/>
        <v>-0.08</v>
      </c>
      <c r="J46" s="1085">
        <f t="shared" si="5"/>
        <v>-0.11</v>
      </c>
      <c r="K46" s="1085">
        <f t="shared" si="5"/>
        <v>0.1</v>
      </c>
      <c r="L46" s="1085"/>
      <c r="M46" s="884">
        <v>-0.08</v>
      </c>
      <c r="N46" s="884">
        <v>-0.11</v>
      </c>
      <c r="O46" s="884">
        <v>0.1</v>
      </c>
      <c r="P46" s="1085"/>
      <c r="Q46" s="884">
        <v>-0.08</v>
      </c>
      <c r="R46" s="884">
        <v>-0.11</v>
      </c>
      <c r="S46" s="884">
        <v>0.1</v>
      </c>
    </row>
    <row r="47" spans="1:19">
      <c r="A47" s="1115">
        <f t="shared" si="13"/>
        <v>5.1999999999999957</v>
      </c>
      <c r="B47" s="884" t="s">
        <v>1053</v>
      </c>
      <c r="C47" s="884">
        <f t="shared" si="2"/>
        <v>-28.360000000000003</v>
      </c>
      <c r="D47" s="884">
        <f t="shared" si="3"/>
        <v>-28.360000000000003</v>
      </c>
      <c r="E47" s="1085"/>
      <c r="F47" s="1085"/>
      <c r="G47" s="1085">
        <f t="shared" si="4"/>
        <v>-28</v>
      </c>
      <c r="H47" s="1085"/>
      <c r="I47" s="1085">
        <f t="shared" si="5"/>
        <v>-0.01</v>
      </c>
      <c r="J47" s="1085">
        <f t="shared" si="5"/>
        <v>-28.35</v>
      </c>
      <c r="K47" s="1085">
        <f t="shared" si="5"/>
        <v>0</v>
      </c>
      <c r="L47" s="1085"/>
      <c r="M47" s="884">
        <v>-0.01</v>
      </c>
      <c r="N47" s="884">
        <v>-28.35</v>
      </c>
      <c r="O47" s="884">
        <v>0</v>
      </c>
      <c r="P47" s="1085"/>
      <c r="Q47" s="884">
        <v>-0.01</v>
      </c>
      <c r="R47" s="884">
        <v>-28.35</v>
      </c>
      <c r="S47" s="884">
        <v>0</v>
      </c>
    </row>
    <row r="48" spans="1:19">
      <c r="A48" s="1115">
        <f t="shared" si="13"/>
        <v>5.2099999999999955</v>
      </c>
      <c r="B48" s="884" t="s">
        <v>1054</v>
      </c>
      <c r="C48" s="884">
        <f t="shared" si="2"/>
        <v>-9.9999999999999992E-2</v>
      </c>
      <c r="D48" s="884">
        <f t="shared" si="3"/>
        <v>-9.9999999999999992E-2</v>
      </c>
      <c r="E48" s="1085"/>
      <c r="F48" s="1085"/>
      <c r="G48" s="1085">
        <f t="shared" si="4"/>
        <v>0</v>
      </c>
      <c r="H48" s="1085"/>
      <c r="I48" s="1085">
        <f t="shared" si="5"/>
        <v>0.05</v>
      </c>
      <c r="J48" s="1085">
        <f t="shared" si="5"/>
        <v>-0.15</v>
      </c>
      <c r="K48" s="1085">
        <f t="shared" si="5"/>
        <v>0</v>
      </c>
      <c r="L48" s="1085"/>
      <c r="M48" s="884">
        <v>0.05</v>
      </c>
      <c r="N48" s="884">
        <v>-0.15</v>
      </c>
      <c r="O48" s="884">
        <v>0</v>
      </c>
      <c r="P48" s="1085"/>
      <c r="Q48" s="884">
        <v>0.05</v>
      </c>
      <c r="R48" s="884">
        <v>-0.15</v>
      </c>
      <c r="S48" s="884">
        <v>0</v>
      </c>
    </row>
    <row r="49" spans="1:19">
      <c r="A49" s="1115">
        <f t="shared" si="13"/>
        <v>5.2199999999999953</v>
      </c>
      <c r="B49" s="884" t="s">
        <v>1055</v>
      </c>
      <c r="C49" s="884">
        <f t="shared" si="2"/>
        <v>2245552.2200000007</v>
      </c>
      <c r="D49" s="884">
        <f t="shared" si="3"/>
        <v>2039774.6600000004</v>
      </c>
      <c r="E49" s="1085"/>
      <c r="F49" s="1085"/>
      <c r="G49" s="1085">
        <f t="shared" si="4"/>
        <v>2142663</v>
      </c>
      <c r="H49" s="1085"/>
      <c r="I49" s="1085">
        <f t="shared" si="5"/>
        <v>1235705.1099999999</v>
      </c>
      <c r="J49" s="1085">
        <f t="shared" si="5"/>
        <v>97767.935000000056</v>
      </c>
      <c r="K49" s="1085">
        <f t="shared" si="5"/>
        <v>809190.39500000048</v>
      </c>
      <c r="L49" s="1085"/>
      <c r="M49" s="884">
        <v>1280265.6099999999</v>
      </c>
      <c r="N49" s="884">
        <v>106366.59000000008</v>
      </c>
      <c r="O49" s="884">
        <v>858920.02000000048</v>
      </c>
      <c r="P49" s="1085"/>
      <c r="Q49" s="884">
        <v>1191144.6099999999</v>
      </c>
      <c r="R49" s="884">
        <v>89169.280000000028</v>
      </c>
      <c r="S49" s="884">
        <v>759460.77000000048</v>
      </c>
    </row>
    <row r="50" spans="1:19">
      <c r="A50" s="1115">
        <f t="shared" si="13"/>
        <v>5.2299999999999951</v>
      </c>
      <c r="B50" s="884" t="s">
        <v>1056</v>
      </c>
      <c r="C50" s="884">
        <f t="shared" ref="C50:C57" si="22">SUM(M50:O50)</f>
        <v>30761088.529999997</v>
      </c>
      <c r="D50" s="884">
        <f t="shared" ref="D50:D57" si="23">SUM(Q50:S50)</f>
        <v>39117499.670000002</v>
      </c>
      <c r="E50" s="1085"/>
      <c r="F50" s="1085"/>
      <c r="G50" s="1085">
        <f t="shared" si="4"/>
        <v>34939294</v>
      </c>
      <c r="H50" s="1085"/>
      <c r="I50" s="1085">
        <f t="shared" si="5"/>
        <v>19639842.509999998</v>
      </c>
      <c r="J50" s="1085">
        <f t="shared" si="5"/>
        <v>4053334.0449999999</v>
      </c>
      <c r="K50" s="1085">
        <f t="shared" si="5"/>
        <v>11246117.545</v>
      </c>
      <c r="L50" s="1085"/>
      <c r="M50" s="884">
        <v>21409227.329999998</v>
      </c>
      <c r="N50" s="884">
        <v>1799703.82</v>
      </c>
      <c r="O50" s="884">
        <v>7552157.3799999999</v>
      </c>
      <c r="P50" s="1085"/>
      <c r="Q50" s="884">
        <v>17870457.690000001</v>
      </c>
      <c r="R50" s="884">
        <v>6306964.2699999996</v>
      </c>
      <c r="S50" s="884">
        <v>14940077.710000001</v>
      </c>
    </row>
    <row r="51" spans="1:19">
      <c r="A51" s="1115">
        <f t="shared" si="13"/>
        <v>5.2399999999999949</v>
      </c>
      <c r="B51" s="884" t="s">
        <v>1057</v>
      </c>
      <c r="C51" s="884">
        <f t="shared" si="22"/>
        <v>39104749.32</v>
      </c>
      <c r="D51" s="884">
        <f t="shared" si="23"/>
        <v>39104749.32</v>
      </c>
      <c r="E51" s="1085"/>
      <c r="F51" s="1085"/>
      <c r="G51" s="1085">
        <f t="shared" si="4"/>
        <v>39104749</v>
      </c>
      <c r="H51" s="1085"/>
      <c r="I51" s="1085">
        <f t="shared" si="5"/>
        <v>12800068.26</v>
      </c>
      <c r="J51" s="1085">
        <f t="shared" si="5"/>
        <v>6988984.7999999998</v>
      </c>
      <c r="K51" s="1085">
        <f t="shared" si="5"/>
        <v>19315696.260000002</v>
      </c>
      <c r="L51" s="1085"/>
      <c r="M51" s="884">
        <v>12800068.26</v>
      </c>
      <c r="N51" s="884">
        <v>6988984.7999999998</v>
      </c>
      <c r="O51" s="884">
        <v>19315696.260000002</v>
      </c>
      <c r="P51" s="1085"/>
      <c r="Q51" s="884">
        <v>12800068.26</v>
      </c>
      <c r="R51" s="884">
        <v>6988984.7999999998</v>
      </c>
      <c r="S51" s="884">
        <v>19315696.260000002</v>
      </c>
    </row>
    <row r="52" spans="1:19">
      <c r="A52" s="1115">
        <f t="shared" si="13"/>
        <v>5.2499999999999947</v>
      </c>
      <c r="B52" s="884" t="s">
        <v>1058</v>
      </c>
      <c r="C52" s="884">
        <f t="shared" si="22"/>
        <v>509941.93000000005</v>
      </c>
      <c r="D52" s="884">
        <f t="shared" si="23"/>
        <v>509941.93000000005</v>
      </c>
      <c r="E52" s="1085"/>
      <c r="F52" s="1085"/>
      <c r="G52" s="1085">
        <f t="shared" ref="G52:G57" si="24">ROUND(SUM(C52:F52)/2,0)</f>
        <v>509942</v>
      </c>
      <c r="H52" s="1085"/>
      <c r="I52" s="1085">
        <f t="shared" si="5"/>
        <v>239884.47</v>
      </c>
      <c r="J52" s="1085">
        <f t="shared" si="5"/>
        <v>44066.81</v>
      </c>
      <c r="K52" s="1085">
        <f t="shared" si="5"/>
        <v>225990.65</v>
      </c>
      <c r="L52" s="1085"/>
      <c r="M52" s="884">
        <v>239884.47</v>
      </c>
      <c r="N52" s="884">
        <v>44066.81</v>
      </c>
      <c r="O52" s="884">
        <v>225990.65</v>
      </c>
      <c r="P52" s="1085"/>
      <c r="Q52" s="884">
        <v>239884.47</v>
      </c>
      <c r="R52" s="884">
        <v>44066.81</v>
      </c>
      <c r="S52" s="884">
        <v>225990.65</v>
      </c>
    </row>
    <row r="53" spans="1:19">
      <c r="A53" s="1115">
        <f t="shared" si="13"/>
        <v>5.2599999999999945</v>
      </c>
      <c r="B53" s="884" t="s">
        <v>1059</v>
      </c>
      <c r="C53" s="884">
        <f t="shared" si="22"/>
        <v>504508.54</v>
      </c>
      <c r="D53" s="884">
        <f t="shared" si="23"/>
        <v>736204.72</v>
      </c>
      <c r="E53" s="1085"/>
      <c r="F53" s="1085"/>
      <c r="G53" s="1085">
        <f t="shared" si="24"/>
        <v>620357</v>
      </c>
      <c r="H53" s="1085"/>
      <c r="I53" s="1085">
        <f t="shared" si="5"/>
        <v>0</v>
      </c>
      <c r="J53" s="1085">
        <f t="shared" si="5"/>
        <v>22870.639999999999</v>
      </c>
      <c r="K53" s="1085">
        <f t="shared" si="5"/>
        <v>597485.99</v>
      </c>
      <c r="L53" s="1085"/>
      <c r="M53" s="884">
        <v>0</v>
      </c>
      <c r="N53" s="884">
        <v>23108.639999999999</v>
      </c>
      <c r="O53" s="884">
        <v>481399.89999999997</v>
      </c>
      <c r="P53" s="1085"/>
      <c r="Q53" s="884">
        <v>0</v>
      </c>
      <c r="R53" s="884">
        <v>22632.639999999999</v>
      </c>
      <c r="S53" s="884">
        <v>713572.08</v>
      </c>
    </row>
    <row r="54" spans="1:19">
      <c r="A54" s="1115">
        <f t="shared" si="13"/>
        <v>5.2699999999999942</v>
      </c>
      <c r="B54" s="884" t="s">
        <v>1060</v>
      </c>
      <c r="C54" s="884">
        <f t="shared" si="22"/>
        <v>0</v>
      </c>
      <c r="D54" s="884">
        <f t="shared" si="23"/>
        <v>0</v>
      </c>
      <c r="E54" s="1085"/>
      <c r="F54" s="1085"/>
      <c r="G54" s="1085">
        <f t="shared" si="24"/>
        <v>0</v>
      </c>
      <c r="H54" s="1085"/>
      <c r="I54" s="1085">
        <f t="shared" si="5"/>
        <v>0</v>
      </c>
      <c r="J54" s="1085">
        <f t="shared" si="5"/>
        <v>0</v>
      </c>
      <c r="K54" s="1085">
        <f t="shared" si="5"/>
        <v>0</v>
      </c>
      <c r="L54" s="1085"/>
      <c r="M54" s="884">
        <v>0</v>
      </c>
      <c r="N54" s="884">
        <v>0</v>
      </c>
      <c r="O54" s="884">
        <v>0</v>
      </c>
      <c r="P54" s="1085"/>
      <c r="Q54" s="884">
        <v>0</v>
      </c>
      <c r="R54" s="884">
        <v>0</v>
      </c>
      <c r="S54" s="884">
        <v>0</v>
      </c>
    </row>
    <row r="55" spans="1:19">
      <c r="A55" s="1115">
        <f t="shared" si="13"/>
        <v>5.279999999999994</v>
      </c>
      <c r="B55" s="884" t="s">
        <v>1061</v>
      </c>
      <c r="C55" s="884">
        <f t="shared" si="22"/>
        <v>0</v>
      </c>
      <c r="D55" s="884">
        <f t="shared" si="23"/>
        <v>0</v>
      </c>
      <c r="E55" s="1090"/>
      <c r="F55" s="1090"/>
      <c r="G55" s="1090">
        <f t="shared" si="24"/>
        <v>0</v>
      </c>
      <c r="H55" s="1090"/>
      <c r="I55" s="1090">
        <f t="shared" si="5"/>
        <v>0</v>
      </c>
      <c r="J55" s="1090">
        <f t="shared" si="5"/>
        <v>0</v>
      </c>
      <c r="K55" s="1090">
        <f t="shared" si="5"/>
        <v>0</v>
      </c>
      <c r="L55" s="1090"/>
      <c r="M55" s="884">
        <v>0</v>
      </c>
      <c r="N55" s="884">
        <v>0</v>
      </c>
      <c r="O55" s="884">
        <v>0</v>
      </c>
      <c r="P55" s="1090"/>
      <c r="Q55" s="884">
        <v>0</v>
      </c>
      <c r="R55" s="884">
        <v>0</v>
      </c>
      <c r="S55" s="884">
        <v>0</v>
      </c>
    </row>
    <row r="56" spans="1:19">
      <c r="A56" s="1115">
        <f t="shared" si="13"/>
        <v>5.2899999999999938</v>
      </c>
      <c r="B56" s="884" t="s">
        <v>1139</v>
      </c>
      <c r="C56" s="884">
        <f t="shared" ref="C56" si="25">SUM(M56:O56)</f>
        <v>2133327.5700000003</v>
      </c>
      <c r="D56" s="884">
        <f t="shared" ref="D56" si="26">SUM(Q56:S56)</f>
        <v>2341602.3200000003</v>
      </c>
      <c r="E56" s="1085"/>
      <c r="F56" s="1085"/>
      <c r="G56" s="1085">
        <f t="shared" si="24"/>
        <v>2237465</v>
      </c>
      <c r="H56" s="1085"/>
      <c r="I56" s="1085">
        <f t="shared" ref="I56" si="27">(M56+Q56)/2</f>
        <v>74709.864999999991</v>
      </c>
      <c r="J56" s="1085">
        <f t="shared" ref="J56" si="28">(N56+R56)/2</f>
        <v>11121.055</v>
      </c>
      <c r="K56" s="1085">
        <f t="shared" ref="K56" si="29">(O56+S56)/2</f>
        <v>2151634.0250000004</v>
      </c>
      <c r="L56" s="1085"/>
      <c r="M56" s="884">
        <v>42659.25</v>
      </c>
      <c r="N56" s="884">
        <v>89227.22</v>
      </c>
      <c r="O56" s="884">
        <v>2001441.1</v>
      </c>
      <c r="P56" s="1085"/>
      <c r="Q56" s="884">
        <v>106760.48</v>
      </c>
      <c r="R56" s="884">
        <v>-66985.11</v>
      </c>
      <c r="S56" s="884">
        <v>2301826.9500000002</v>
      </c>
    </row>
    <row r="57" spans="1:19">
      <c r="A57" s="1115">
        <f t="shared" si="13"/>
        <v>5.2999999999999936</v>
      </c>
      <c r="B57" s="884" t="s">
        <v>1062</v>
      </c>
      <c r="C57" s="884">
        <f t="shared" si="22"/>
        <v>2319792.7200000002</v>
      </c>
      <c r="D57" s="884">
        <f t="shared" si="23"/>
        <v>2280899.04</v>
      </c>
      <c r="E57" s="1085"/>
      <c r="F57" s="1085"/>
      <c r="G57" s="1085">
        <f t="shared" si="24"/>
        <v>2300346</v>
      </c>
      <c r="H57" s="1085"/>
      <c r="I57" s="1085">
        <f t="shared" si="5"/>
        <v>2300345.88</v>
      </c>
      <c r="J57" s="1085">
        <f t="shared" si="5"/>
        <v>0</v>
      </c>
      <c r="K57" s="1085">
        <f t="shared" si="5"/>
        <v>0</v>
      </c>
      <c r="L57" s="1085"/>
      <c r="M57" s="884">
        <v>2319792.7200000002</v>
      </c>
      <c r="N57" s="884">
        <v>0</v>
      </c>
      <c r="O57" s="884">
        <v>0</v>
      </c>
      <c r="P57" s="1085"/>
      <c r="Q57" s="884">
        <v>2280899.04</v>
      </c>
      <c r="R57" s="884">
        <v>0</v>
      </c>
      <c r="S57" s="884">
        <v>0</v>
      </c>
    </row>
    <row r="58" spans="1:19">
      <c r="A58" s="1115">
        <f t="shared" si="13"/>
        <v>5.3099999999999934</v>
      </c>
      <c r="B58" s="884" t="s">
        <v>1063</v>
      </c>
      <c r="C58" s="884">
        <f t="shared" si="2"/>
        <v>0</v>
      </c>
      <c r="D58" s="884">
        <f t="shared" si="3"/>
        <v>0</v>
      </c>
      <c r="E58" s="1085"/>
      <c r="F58" s="1085"/>
      <c r="G58" s="1085">
        <f t="shared" ref="G58:G63" si="30">ROUND(SUM(C58:F58)/2,0)</f>
        <v>0</v>
      </c>
      <c r="H58" s="1085"/>
      <c r="I58" s="1085">
        <f t="shared" si="5"/>
        <v>0</v>
      </c>
      <c r="J58" s="1085">
        <f t="shared" si="5"/>
        <v>0</v>
      </c>
      <c r="K58" s="1085">
        <f t="shared" si="5"/>
        <v>0</v>
      </c>
      <c r="L58" s="1085"/>
      <c r="M58" s="884">
        <v>0</v>
      </c>
      <c r="N58" s="884">
        <v>0</v>
      </c>
      <c r="O58" s="884">
        <v>0</v>
      </c>
      <c r="P58" s="1085"/>
      <c r="Q58" s="884">
        <v>0</v>
      </c>
      <c r="R58" s="884">
        <v>0</v>
      </c>
      <c r="S58" s="884">
        <v>0</v>
      </c>
    </row>
    <row r="59" spans="1:19">
      <c r="A59" s="1115">
        <f t="shared" si="13"/>
        <v>5.3199999999999932</v>
      </c>
      <c r="B59" s="884" t="s">
        <v>1292</v>
      </c>
      <c r="C59" s="884">
        <f t="shared" ref="C59" si="31">SUM(M59:O59)</f>
        <v>-942895</v>
      </c>
      <c r="D59" s="884">
        <f t="shared" ref="D59" si="32">SUM(Q59:S59)</f>
        <v>-2370099</v>
      </c>
      <c r="E59" s="1085"/>
      <c r="F59" s="1085"/>
      <c r="G59" s="1085">
        <f t="shared" ref="G59" si="33">ROUND(SUM(C59:F59)/2,0)</f>
        <v>-1656497</v>
      </c>
      <c r="H59" s="1085"/>
      <c r="I59" s="1085">
        <f t="shared" ref="I59" si="34">(M59+Q59)/2</f>
        <v>0</v>
      </c>
      <c r="J59" s="1085">
        <f t="shared" ref="J59" si="35">(N59+R59)/2</f>
        <v>-2435656</v>
      </c>
      <c r="K59" s="1085">
        <f t="shared" ref="K59" si="36">(O59+S59)/2</f>
        <v>779159</v>
      </c>
      <c r="L59" s="1085"/>
      <c r="M59" s="884">
        <v>713602</v>
      </c>
      <c r="N59" s="884">
        <v>-2435656</v>
      </c>
      <c r="O59" s="884">
        <v>779159</v>
      </c>
      <c r="P59" s="1085"/>
      <c r="Q59" s="884">
        <v>-713602</v>
      </c>
      <c r="R59" s="884">
        <v>-2435656</v>
      </c>
      <c r="S59" s="884">
        <v>779159</v>
      </c>
    </row>
    <row r="60" spans="1:19">
      <c r="A60" s="1115">
        <f t="shared" si="13"/>
        <v>5.329999999999993</v>
      </c>
      <c r="B60" s="884" t="s">
        <v>1064</v>
      </c>
      <c r="C60" s="884">
        <f t="shared" si="2"/>
        <v>137399106.19999999</v>
      </c>
      <c r="D60" s="884">
        <f t="shared" si="3"/>
        <v>133140573.00999999</v>
      </c>
      <c r="E60" s="1085"/>
      <c r="F60" s="1085"/>
      <c r="G60" s="1085">
        <f t="shared" si="30"/>
        <v>135269840</v>
      </c>
      <c r="H60" s="1085"/>
      <c r="I60" s="1085">
        <f t="shared" si="5"/>
        <v>59720813.399999999</v>
      </c>
      <c r="J60" s="1085">
        <f t="shared" si="5"/>
        <v>34620166.204999998</v>
      </c>
      <c r="K60" s="1085">
        <f t="shared" si="5"/>
        <v>40928860</v>
      </c>
      <c r="L60" s="1085"/>
      <c r="M60" s="884">
        <v>59577822.399999999</v>
      </c>
      <c r="N60" s="884">
        <v>35527306.799999997</v>
      </c>
      <c r="O60" s="884">
        <v>42293977</v>
      </c>
      <c r="P60" s="1085"/>
      <c r="Q60" s="884">
        <v>59863804.399999999</v>
      </c>
      <c r="R60" s="884">
        <v>33713025.609999999</v>
      </c>
      <c r="S60" s="884">
        <v>39563743</v>
      </c>
    </row>
    <row r="61" spans="1:19">
      <c r="A61" s="1115">
        <f t="shared" si="13"/>
        <v>5.3399999999999928</v>
      </c>
      <c r="B61" s="884" t="s">
        <v>1022</v>
      </c>
      <c r="C61" s="884">
        <f>-E61</f>
        <v>0</v>
      </c>
      <c r="D61" s="884">
        <f>-F61</f>
        <v>0</v>
      </c>
      <c r="E61" s="1085">
        <v>0</v>
      </c>
      <c r="F61" s="1085">
        <v>0</v>
      </c>
      <c r="G61" s="1085">
        <f t="shared" si="30"/>
        <v>0</v>
      </c>
      <c r="H61" s="1085"/>
      <c r="I61" s="1085"/>
      <c r="J61" s="1085"/>
      <c r="K61" s="1085"/>
      <c r="L61" s="1085"/>
      <c r="M61" s="1085"/>
      <c r="N61" s="1085"/>
      <c r="O61" s="1085"/>
      <c r="P61" s="1085"/>
      <c r="Q61" s="1085"/>
      <c r="R61" s="1085"/>
      <c r="S61" s="1085"/>
    </row>
    <row r="62" spans="1:19">
      <c r="A62" s="1115">
        <f t="shared" si="13"/>
        <v>5.3499999999999925</v>
      </c>
      <c r="B62" s="884" t="s">
        <v>1065</v>
      </c>
      <c r="C62" s="884">
        <f t="shared" ref="C62:C63" si="37">-E62</f>
        <v>31569369.550000001</v>
      </c>
      <c r="D62" s="884">
        <f t="shared" ref="D62:D63" si="38">-F62</f>
        <v>32001136.079999998</v>
      </c>
      <c r="E62" s="1085">
        <v>-31569369.550000001</v>
      </c>
      <c r="F62" s="1085">
        <v>-32001136.079999998</v>
      </c>
      <c r="G62" s="1085">
        <f t="shared" si="30"/>
        <v>0</v>
      </c>
      <c r="H62" s="1085"/>
      <c r="I62" s="1085"/>
      <c r="J62" s="1085"/>
      <c r="K62" s="1085"/>
      <c r="L62" s="1085"/>
      <c r="M62" s="1085"/>
      <c r="N62" s="1085"/>
      <c r="O62" s="1085"/>
      <c r="P62" s="1085"/>
      <c r="Q62" s="1085"/>
      <c r="R62" s="1085"/>
      <c r="S62" s="1085"/>
    </row>
    <row r="63" spans="1:19">
      <c r="A63" s="1115">
        <f t="shared" si="13"/>
        <v>5.3599999999999923</v>
      </c>
      <c r="B63" s="884" t="s">
        <v>1066</v>
      </c>
      <c r="C63" s="884">
        <f t="shared" si="37"/>
        <v>-138826310.19999999</v>
      </c>
      <c r="D63" s="884">
        <f t="shared" si="38"/>
        <v>-133140573.01000001</v>
      </c>
      <c r="E63" s="1085">
        <v>138826310.19999999</v>
      </c>
      <c r="F63" s="1085">
        <v>133140573.01000001</v>
      </c>
      <c r="G63" s="1085">
        <f t="shared" si="30"/>
        <v>0</v>
      </c>
      <c r="H63" s="1085"/>
      <c r="I63" s="1085"/>
      <c r="J63" s="1085"/>
      <c r="K63" s="1085"/>
      <c r="L63" s="1085"/>
      <c r="M63" s="1085"/>
      <c r="N63" s="1085"/>
      <c r="O63" s="1085"/>
      <c r="P63" s="1085"/>
      <c r="Q63" s="1085"/>
      <c r="R63" s="1085"/>
      <c r="S63" s="1085"/>
    </row>
    <row r="64" spans="1:19">
      <c r="A64"/>
    </row>
    <row r="65" spans="1:19">
      <c r="A65" s="1095"/>
      <c r="B65" s="1075"/>
      <c r="C65" s="1085"/>
      <c r="D65" s="1085"/>
      <c r="E65" s="1085"/>
      <c r="F65" s="1085"/>
      <c r="G65" s="1085"/>
      <c r="H65" s="1085"/>
      <c r="I65" s="1085"/>
      <c r="J65" s="1085"/>
      <c r="K65" s="1085"/>
      <c r="L65" s="1085"/>
      <c r="M65" s="1085"/>
      <c r="N65" s="1085"/>
      <c r="O65" s="1085"/>
      <c r="P65" s="1085"/>
      <c r="Q65" s="1085"/>
      <c r="R65" s="1085"/>
      <c r="S65" s="1085"/>
    </row>
    <row r="66" spans="1:19" ht="13.5" thickBot="1">
      <c r="A66" s="1095">
        <v>6</v>
      </c>
      <c r="B66" s="1076" t="s">
        <v>732</v>
      </c>
      <c r="C66" s="1088">
        <f>SUM(C28:C65)</f>
        <v>265810884.32000005</v>
      </c>
      <c r="D66" s="1088">
        <f>SUM(D28:D65)</f>
        <v>271069350.18000001</v>
      </c>
      <c r="E66" s="1088">
        <f>SUM(E28:E65)</f>
        <v>107256940.64999999</v>
      </c>
      <c r="F66" s="1088">
        <f>SUM(F28:F65)</f>
        <v>101139436.93000001</v>
      </c>
      <c r="G66" s="1088">
        <f>SUM(G28:G65)</f>
        <v>372638306</v>
      </c>
      <c r="H66" s="1085"/>
      <c r="I66" s="1088">
        <f>SUM(I28:I65)</f>
        <v>155983141.03</v>
      </c>
      <c r="J66" s="1088">
        <f>SUM(J28:J65)</f>
        <v>89302865.48999998</v>
      </c>
      <c r="K66" s="1088">
        <f>SUM(K28:K65)</f>
        <v>127352299.52000001</v>
      </c>
      <c r="L66" s="1085"/>
      <c r="M66" s="1440">
        <f>SUM(M28:M65)</f>
        <v>159201498.88</v>
      </c>
      <c r="N66" s="1440">
        <f>SUM(N28:N65)</f>
        <v>87793498.769999996</v>
      </c>
      <c r="O66" s="1440">
        <f>SUM(O28:O65)</f>
        <v>126072827.32000001</v>
      </c>
      <c r="P66" s="1085"/>
      <c r="Q66" s="1440">
        <f>SUM(Q28:Q65)</f>
        <v>152764783.18000001</v>
      </c>
      <c r="R66" s="1440">
        <f>SUM(R28:R65)</f>
        <v>90812232.209999993</v>
      </c>
      <c r="S66" s="1440">
        <f>SUM(S28:S65)</f>
        <v>128631771.72000003</v>
      </c>
    </row>
    <row r="67" spans="1:19" ht="13.5" thickTop="1">
      <c r="A67" s="1095">
        <f>A66+1</f>
        <v>7</v>
      </c>
      <c r="B67" s="1162" t="s">
        <v>745</v>
      </c>
      <c r="C67" s="1089">
        <f>C36+C55</f>
        <v>14831632.93</v>
      </c>
      <c r="D67" s="1089">
        <f t="shared" ref="D67:S67" si="39">D36+D55</f>
        <v>15366024.58</v>
      </c>
      <c r="E67" s="1089">
        <f t="shared" si="39"/>
        <v>0</v>
      </c>
      <c r="F67" s="1089">
        <f t="shared" si="39"/>
        <v>0</v>
      </c>
      <c r="G67" s="1089">
        <f t="shared" si="39"/>
        <v>15098829</v>
      </c>
      <c r="H67" s="1085"/>
      <c r="I67" s="1089">
        <f t="shared" si="39"/>
        <v>15098828.754999999</v>
      </c>
      <c r="J67" s="1089">
        <f t="shared" si="39"/>
        <v>0</v>
      </c>
      <c r="K67" s="1089">
        <f t="shared" si="39"/>
        <v>0</v>
      </c>
      <c r="L67" s="1089"/>
      <c r="M67" s="1089">
        <f t="shared" si="39"/>
        <v>14831632.93</v>
      </c>
      <c r="N67" s="1089">
        <f t="shared" si="39"/>
        <v>0</v>
      </c>
      <c r="O67" s="1089">
        <f t="shared" si="39"/>
        <v>0</v>
      </c>
      <c r="P67" s="1085"/>
      <c r="Q67" s="1089">
        <f t="shared" si="39"/>
        <v>15366024.58</v>
      </c>
      <c r="R67" s="1089">
        <f t="shared" si="39"/>
        <v>0</v>
      </c>
      <c r="S67" s="1089">
        <f t="shared" si="39"/>
        <v>0</v>
      </c>
    </row>
    <row r="68" spans="1:19">
      <c r="A68" s="1095"/>
      <c r="B68" s="1076"/>
      <c r="C68" s="1085"/>
      <c r="D68" s="1091"/>
      <c r="E68" s="1085"/>
      <c r="F68" s="1085"/>
      <c r="G68" s="1085"/>
      <c r="H68" s="1085"/>
      <c r="I68" s="1085"/>
      <c r="J68" s="1085"/>
      <c r="K68" s="1085"/>
      <c r="L68" s="1085"/>
      <c r="M68" s="1085"/>
      <c r="N68" s="1085"/>
      <c r="O68" s="1085"/>
      <c r="P68" s="1085"/>
      <c r="Q68" s="1085"/>
      <c r="R68" s="1085"/>
      <c r="S68" s="1085"/>
    </row>
    <row r="69" spans="1:19">
      <c r="A69" s="1095">
        <v>8</v>
      </c>
      <c r="B69" s="257" t="s">
        <v>733</v>
      </c>
      <c r="C69" s="1085" t="s">
        <v>116</v>
      </c>
      <c r="D69" s="1085"/>
      <c r="E69" s="1085"/>
      <c r="F69" s="1085"/>
      <c r="G69" s="1085"/>
      <c r="H69" s="1085"/>
      <c r="I69" s="1085"/>
      <c r="J69" s="1085"/>
      <c r="K69" s="1085"/>
      <c r="L69" s="1085"/>
      <c r="M69" s="1085"/>
      <c r="N69" s="1085"/>
      <c r="O69" s="1085"/>
      <c r="P69" s="1085"/>
      <c r="Q69" s="1085"/>
      <c r="R69" s="1085"/>
      <c r="S69" s="1085"/>
    </row>
    <row r="70" spans="1:19">
      <c r="A70" s="1095"/>
      <c r="B70" s="1075"/>
      <c r="C70" s="1085"/>
      <c r="D70" s="1085"/>
      <c r="E70" s="1085"/>
      <c r="F70" s="1085"/>
      <c r="G70" s="1085"/>
      <c r="H70" s="1085"/>
      <c r="I70" s="1085"/>
      <c r="J70" s="1085"/>
      <c r="K70" s="1085"/>
      <c r="L70" s="1085"/>
      <c r="M70" s="1085"/>
      <c r="N70" s="1085"/>
      <c r="O70" s="1085"/>
      <c r="P70" s="1085"/>
      <c r="Q70" s="1085"/>
      <c r="R70" s="1085"/>
      <c r="S70" s="1085"/>
    </row>
    <row r="71" spans="1:19">
      <c r="A71" s="1115">
        <v>9.01</v>
      </c>
      <c r="B71" s="884" t="s">
        <v>1067</v>
      </c>
      <c r="C71" s="884">
        <f>SUM(M71:O71)</f>
        <v>1439887.73</v>
      </c>
      <c r="D71" s="884">
        <f t="shared" ref="D71:D138" si="40">SUM(Q71:S71)</f>
        <v>2072027.4400000002</v>
      </c>
      <c r="E71" s="1085"/>
      <c r="F71" s="1085"/>
      <c r="G71" s="1085">
        <f t="shared" ref="G71:G134" si="41">ROUND(SUM(C71:F71)/2,0)</f>
        <v>1755958</v>
      </c>
      <c r="H71" s="1085"/>
      <c r="I71" s="1085">
        <f>(M71+Q71)/2</f>
        <v>1754878.1850000001</v>
      </c>
      <c r="J71" s="1085">
        <f>(N71+R71)/2</f>
        <v>0</v>
      </c>
      <c r="K71" s="1085">
        <f>(O71+S71)/2</f>
        <v>1079.3999999999999</v>
      </c>
      <c r="L71" s="1085"/>
      <c r="M71" s="884">
        <v>1439887.73</v>
      </c>
      <c r="N71" s="884">
        <v>0</v>
      </c>
      <c r="O71" s="884">
        <v>0</v>
      </c>
      <c r="P71" s="1085"/>
      <c r="Q71" s="884">
        <v>2069868.6400000001</v>
      </c>
      <c r="R71" s="884">
        <v>0</v>
      </c>
      <c r="S71" s="884">
        <v>2158.7999999999997</v>
      </c>
    </row>
    <row r="72" spans="1:19">
      <c r="A72" s="1115">
        <f>A71+0.01</f>
        <v>9.02</v>
      </c>
      <c r="B72" s="884" t="s">
        <v>1068</v>
      </c>
      <c r="C72" s="884">
        <f t="shared" ref="C72:C138" si="42">SUM(M72:O72)</f>
        <v>0</v>
      </c>
      <c r="D72" s="884">
        <f t="shared" si="40"/>
        <v>0</v>
      </c>
      <c r="E72" s="1085"/>
      <c r="F72" s="1085"/>
      <c r="G72" s="1085">
        <f>ROUND(SUM(C72:F72)/2,0)</f>
        <v>0</v>
      </c>
      <c r="H72" s="1085"/>
      <c r="I72" s="1085">
        <f t="shared" ref="I72:K138" si="43">(M72+Q72)/2</f>
        <v>0</v>
      </c>
      <c r="J72" s="1085">
        <f t="shared" si="43"/>
        <v>0</v>
      </c>
      <c r="K72" s="1085">
        <f t="shared" si="43"/>
        <v>0</v>
      </c>
      <c r="L72" s="1085"/>
      <c r="M72" s="884">
        <v>0</v>
      </c>
      <c r="N72" s="884">
        <v>0</v>
      </c>
      <c r="O72" s="884">
        <v>0</v>
      </c>
      <c r="P72" s="1085"/>
      <c r="Q72" s="884">
        <v>0</v>
      </c>
      <c r="R72" s="884">
        <v>0</v>
      </c>
      <c r="S72" s="884">
        <v>0</v>
      </c>
    </row>
    <row r="73" spans="1:19">
      <c r="A73" s="1115">
        <f t="shared" ref="A73:A143" si="44">A72+0.01</f>
        <v>9.0299999999999994</v>
      </c>
      <c r="B73" s="884" t="s">
        <v>1069</v>
      </c>
      <c r="C73" s="884">
        <f t="shared" si="42"/>
        <v>0</v>
      </c>
      <c r="D73" s="884">
        <f t="shared" si="40"/>
        <v>0</v>
      </c>
      <c r="E73" s="1085"/>
      <c r="F73" s="1085"/>
      <c r="G73" s="1085">
        <f t="shared" si="41"/>
        <v>0</v>
      </c>
      <c r="H73" s="1085"/>
      <c r="I73" s="1085">
        <f t="shared" si="43"/>
        <v>0</v>
      </c>
      <c r="J73" s="1085">
        <f t="shared" si="43"/>
        <v>0</v>
      </c>
      <c r="K73" s="1085">
        <f t="shared" si="43"/>
        <v>0</v>
      </c>
      <c r="L73" s="1085"/>
      <c r="M73" s="884">
        <v>0</v>
      </c>
      <c r="N73" s="884">
        <v>0</v>
      </c>
      <c r="O73" s="884">
        <v>0</v>
      </c>
      <c r="P73" s="1085"/>
      <c r="Q73" s="884">
        <v>0</v>
      </c>
      <c r="R73" s="884">
        <v>0</v>
      </c>
      <c r="S73" s="884">
        <v>0</v>
      </c>
    </row>
    <row r="74" spans="1:19">
      <c r="A74" s="1115">
        <f t="shared" si="44"/>
        <v>9.0399999999999991</v>
      </c>
      <c r="B74" s="884" t="s">
        <v>1070</v>
      </c>
      <c r="C74" s="884">
        <f t="shared" si="42"/>
        <v>0</v>
      </c>
      <c r="D74" s="884">
        <f t="shared" si="40"/>
        <v>0</v>
      </c>
      <c r="E74" s="1085"/>
      <c r="F74" s="1085"/>
      <c r="G74" s="1085">
        <f t="shared" si="41"/>
        <v>0</v>
      </c>
      <c r="H74" s="1085"/>
      <c r="I74" s="1085">
        <f t="shared" si="43"/>
        <v>0</v>
      </c>
      <c r="J74" s="1085">
        <f t="shared" si="43"/>
        <v>0</v>
      </c>
      <c r="K74" s="1085">
        <f t="shared" si="43"/>
        <v>0</v>
      </c>
      <c r="L74" s="1085"/>
      <c r="M74" s="884">
        <v>0</v>
      </c>
      <c r="N74" s="884">
        <v>0</v>
      </c>
      <c r="O74" s="884">
        <v>0</v>
      </c>
      <c r="P74" s="1085"/>
      <c r="Q74" s="884">
        <v>0</v>
      </c>
      <c r="R74" s="884">
        <v>0</v>
      </c>
      <c r="S74" s="884">
        <v>0</v>
      </c>
    </row>
    <row r="75" spans="1:19">
      <c r="A75" s="1115">
        <f t="shared" si="44"/>
        <v>9.0499999999999989</v>
      </c>
      <c r="B75" s="884" t="s">
        <v>1071</v>
      </c>
      <c r="C75" s="884">
        <f t="shared" si="42"/>
        <v>-0.91</v>
      </c>
      <c r="D75" s="884">
        <f t="shared" si="40"/>
        <v>-0.91</v>
      </c>
      <c r="E75" s="1085"/>
      <c r="F75" s="1085"/>
      <c r="G75" s="1085">
        <f t="shared" si="41"/>
        <v>-1</v>
      </c>
      <c r="H75" s="1085"/>
      <c r="I75" s="1085">
        <f t="shared" si="43"/>
        <v>-0.91</v>
      </c>
      <c r="J75" s="1085">
        <f t="shared" si="43"/>
        <v>0</v>
      </c>
      <c r="K75" s="1085">
        <f t="shared" si="43"/>
        <v>0</v>
      </c>
      <c r="L75" s="1085"/>
      <c r="M75" s="884">
        <v>-0.91</v>
      </c>
      <c r="N75" s="884">
        <v>0</v>
      </c>
      <c r="O75" s="884">
        <v>0</v>
      </c>
      <c r="P75" s="1085"/>
      <c r="Q75" s="884">
        <v>-0.91</v>
      </c>
      <c r="R75" s="884">
        <v>0</v>
      </c>
      <c r="S75" s="884">
        <v>0</v>
      </c>
    </row>
    <row r="76" spans="1:19">
      <c r="A76" s="1115">
        <f t="shared" si="44"/>
        <v>9.0599999999999987</v>
      </c>
      <c r="B76" s="884" t="s">
        <v>1072</v>
      </c>
      <c r="C76" s="884">
        <f t="shared" si="42"/>
        <v>345168.62</v>
      </c>
      <c r="D76" s="884">
        <f t="shared" si="40"/>
        <v>324611.51</v>
      </c>
      <c r="E76" s="1085"/>
      <c r="F76" s="1085"/>
      <c r="G76" s="1085">
        <f t="shared" si="41"/>
        <v>334890</v>
      </c>
      <c r="H76" s="1085"/>
      <c r="I76" s="1085">
        <f t="shared" si="43"/>
        <v>334890.065</v>
      </c>
      <c r="J76" s="1085">
        <f t="shared" si="43"/>
        <v>0</v>
      </c>
      <c r="K76" s="1085">
        <f t="shared" si="43"/>
        <v>0</v>
      </c>
      <c r="L76" s="1085"/>
      <c r="M76" s="884">
        <v>345168.62</v>
      </c>
      <c r="N76" s="884">
        <v>0</v>
      </c>
      <c r="O76" s="884">
        <v>0</v>
      </c>
      <c r="P76" s="1085"/>
      <c r="Q76" s="884">
        <v>324611.51</v>
      </c>
      <c r="R76" s="884">
        <v>0</v>
      </c>
      <c r="S76" s="884">
        <v>0</v>
      </c>
    </row>
    <row r="77" spans="1:19">
      <c r="A77" s="1115">
        <f t="shared" si="44"/>
        <v>9.0699999999999985</v>
      </c>
      <c r="B77" s="884" t="s">
        <v>1073</v>
      </c>
      <c r="C77" s="884">
        <f t="shared" si="42"/>
        <v>-318003.33</v>
      </c>
      <c r="D77" s="884">
        <f t="shared" si="40"/>
        <v>-369722.15</v>
      </c>
      <c r="E77" s="1085"/>
      <c r="F77" s="1085"/>
      <c r="G77" s="1085">
        <f>ROUND(SUM(C77:F77)/2,0)</f>
        <v>-343863</v>
      </c>
      <c r="H77" s="1085"/>
      <c r="I77" s="1085">
        <f t="shared" si="43"/>
        <v>-343862.74</v>
      </c>
      <c r="J77" s="1085">
        <f t="shared" si="43"/>
        <v>0</v>
      </c>
      <c r="K77" s="1085">
        <f t="shared" si="43"/>
        <v>0</v>
      </c>
      <c r="L77" s="1085"/>
      <c r="M77" s="884">
        <v>-318003.33</v>
      </c>
      <c r="N77" s="884">
        <v>0</v>
      </c>
      <c r="O77" s="884">
        <v>0</v>
      </c>
      <c r="P77" s="1085"/>
      <c r="Q77" s="884">
        <v>-369722.15</v>
      </c>
      <c r="R77" s="884">
        <v>0</v>
      </c>
      <c r="S77" s="884">
        <v>0</v>
      </c>
    </row>
    <row r="78" spans="1:19">
      <c r="A78" s="1115">
        <f t="shared" si="44"/>
        <v>9.0799999999999983</v>
      </c>
      <c r="B78" s="884" t="s">
        <v>1074</v>
      </c>
      <c r="C78" s="884">
        <f t="shared" si="42"/>
        <v>64821.75</v>
      </c>
      <c r="D78" s="884">
        <f t="shared" si="40"/>
        <v>100947.42</v>
      </c>
      <c r="E78" s="1085"/>
      <c r="F78" s="1085"/>
      <c r="G78" s="1085">
        <f>ROUND(SUM(C78:F78)/2,0)</f>
        <v>82885</v>
      </c>
      <c r="H78" s="1085"/>
      <c r="I78" s="1085">
        <f t="shared" si="43"/>
        <v>82884.584999999992</v>
      </c>
      <c r="J78" s="1085">
        <f t="shared" si="43"/>
        <v>0</v>
      </c>
      <c r="K78" s="1085">
        <f t="shared" si="43"/>
        <v>0</v>
      </c>
      <c r="L78" s="1085"/>
      <c r="M78" s="884">
        <v>64821.75</v>
      </c>
      <c r="N78" s="884">
        <v>0</v>
      </c>
      <c r="O78" s="884">
        <v>0</v>
      </c>
      <c r="P78" s="1085"/>
      <c r="Q78" s="884">
        <v>100947.42</v>
      </c>
      <c r="R78" s="884">
        <v>0</v>
      </c>
      <c r="S78" s="884">
        <v>0</v>
      </c>
    </row>
    <row r="79" spans="1:19">
      <c r="A79" s="1115">
        <f t="shared" si="44"/>
        <v>9.0899999999999981</v>
      </c>
      <c r="B79" s="884" t="s">
        <v>1075</v>
      </c>
      <c r="C79" s="884">
        <f t="shared" si="42"/>
        <v>0</v>
      </c>
      <c r="D79" s="884">
        <f t="shared" si="40"/>
        <v>0</v>
      </c>
      <c r="E79" s="1085"/>
      <c r="F79" s="1085"/>
      <c r="G79" s="1085">
        <f t="shared" si="41"/>
        <v>0</v>
      </c>
      <c r="H79" s="1085"/>
      <c r="I79" s="1085">
        <f t="shared" si="43"/>
        <v>0</v>
      </c>
      <c r="J79" s="1085">
        <f t="shared" si="43"/>
        <v>0</v>
      </c>
      <c r="K79" s="1085">
        <f t="shared" si="43"/>
        <v>0</v>
      </c>
      <c r="L79" s="1085"/>
      <c r="M79" s="884">
        <v>0</v>
      </c>
      <c r="N79" s="884">
        <v>0</v>
      </c>
      <c r="O79" s="884">
        <v>0</v>
      </c>
      <c r="P79" s="1085"/>
      <c r="Q79" s="884">
        <v>0</v>
      </c>
      <c r="R79" s="884">
        <v>0</v>
      </c>
      <c r="S79" s="884">
        <v>0</v>
      </c>
    </row>
    <row r="80" spans="1:19">
      <c r="A80" s="1115">
        <f t="shared" si="44"/>
        <v>9.0999999999999979</v>
      </c>
      <c r="B80" s="884" t="s">
        <v>969</v>
      </c>
      <c r="C80" s="884">
        <f t="shared" si="42"/>
        <v>0</v>
      </c>
      <c r="D80" s="884">
        <f t="shared" si="40"/>
        <v>0</v>
      </c>
      <c r="E80" s="1085"/>
      <c r="F80" s="1085"/>
      <c r="G80" s="1085">
        <f>ROUND(SUM(C80:F80)/2,0)</f>
        <v>0</v>
      </c>
      <c r="H80" s="1085"/>
      <c r="I80" s="1085">
        <f t="shared" si="43"/>
        <v>0</v>
      </c>
      <c r="J80" s="1085">
        <f t="shared" si="43"/>
        <v>0</v>
      </c>
      <c r="K80" s="1085">
        <f t="shared" si="43"/>
        <v>0</v>
      </c>
      <c r="L80" s="1085"/>
      <c r="M80" s="884">
        <v>0</v>
      </c>
      <c r="N80" s="884">
        <v>0</v>
      </c>
      <c r="O80" s="884">
        <v>0</v>
      </c>
      <c r="P80" s="1085"/>
      <c r="Q80" s="884">
        <v>0</v>
      </c>
      <c r="R80" s="884">
        <v>0</v>
      </c>
      <c r="S80" s="884">
        <v>0</v>
      </c>
    </row>
    <row r="81" spans="1:19">
      <c r="A81" s="1115">
        <f t="shared" si="44"/>
        <v>9.1099999999999977</v>
      </c>
      <c r="B81" s="884" t="s">
        <v>1076</v>
      </c>
      <c r="C81" s="884">
        <f t="shared" si="42"/>
        <v>-11684706.710000001</v>
      </c>
      <c r="D81" s="884">
        <f t="shared" si="40"/>
        <v>-9321662.3900000006</v>
      </c>
      <c r="E81" s="1085"/>
      <c r="F81" s="1085"/>
      <c r="G81" s="1085">
        <f>ROUND(SUM(C81:F81)/2,0)</f>
        <v>-10503185</v>
      </c>
      <c r="H81" s="1085"/>
      <c r="I81" s="1085">
        <f t="shared" si="43"/>
        <v>-5301240.74</v>
      </c>
      <c r="J81" s="1085">
        <f t="shared" si="43"/>
        <v>-531968.32499999995</v>
      </c>
      <c r="K81" s="1085">
        <f t="shared" si="43"/>
        <v>-4669975.4849999994</v>
      </c>
      <c r="L81" s="1085"/>
      <c r="M81" s="884">
        <v>-6355941.7999999998</v>
      </c>
      <c r="N81" s="884">
        <v>-525430.07999999996</v>
      </c>
      <c r="O81" s="884">
        <v>-4803334.83</v>
      </c>
      <c r="P81" s="1085"/>
      <c r="Q81" s="884">
        <v>-4246539.68</v>
      </c>
      <c r="R81" s="884">
        <v>-538506.56999999995</v>
      </c>
      <c r="S81" s="884">
        <v>-4536616.1399999997</v>
      </c>
    </row>
    <row r="82" spans="1:19">
      <c r="A82" s="1115">
        <f t="shared" si="44"/>
        <v>9.1199999999999974</v>
      </c>
      <c r="B82" s="884" t="s">
        <v>1272</v>
      </c>
      <c r="C82" s="884">
        <f t="shared" ref="C82:C83" si="45">SUM(M82:O82)</f>
        <v>0</v>
      </c>
      <c r="D82" s="884">
        <f t="shared" ref="D82:D83" si="46">SUM(Q82:S82)</f>
        <v>-18674.330000000002</v>
      </c>
      <c r="E82" s="1085"/>
      <c r="F82" s="1085"/>
      <c r="G82" s="1085">
        <f t="shared" ref="G82:G83" si="47">ROUND(SUM(C82:F82)/2,0)</f>
        <v>-9337</v>
      </c>
      <c r="H82" s="1085"/>
      <c r="I82" s="1085">
        <f t="shared" ref="I82:I83" si="48">(M82+Q82)/2</f>
        <v>0</v>
      </c>
      <c r="J82" s="1085">
        <f t="shared" ref="J82:J83" si="49">(N82+R82)/2</f>
        <v>0</v>
      </c>
      <c r="K82" s="1085">
        <f t="shared" ref="K82:K83" si="50">(O82+S82)/2</f>
        <v>-9337.1650000000009</v>
      </c>
      <c r="L82" s="1085"/>
      <c r="M82" s="884">
        <v>0</v>
      </c>
      <c r="N82" s="884">
        <v>0</v>
      </c>
      <c r="O82" s="884">
        <v>0</v>
      </c>
      <c r="P82" s="1085"/>
      <c r="Q82" s="884">
        <v>0</v>
      </c>
      <c r="R82" s="884">
        <v>0</v>
      </c>
      <c r="S82" s="884">
        <v>-18674.330000000002</v>
      </c>
    </row>
    <row r="83" spans="1:19">
      <c r="A83" s="1115">
        <f t="shared" si="44"/>
        <v>9.1299999999999972</v>
      </c>
      <c r="B83" s="884" t="s">
        <v>1267</v>
      </c>
      <c r="C83" s="884">
        <f t="shared" si="45"/>
        <v>0</v>
      </c>
      <c r="D83" s="884">
        <f t="shared" si="46"/>
        <v>1910.22</v>
      </c>
      <c r="E83" s="1085"/>
      <c r="F83" s="1085"/>
      <c r="G83" s="1085">
        <f t="shared" si="47"/>
        <v>955</v>
      </c>
      <c r="H83" s="1085"/>
      <c r="I83" s="1085">
        <f t="shared" si="48"/>
        <v>948.495</v>
      </c>
      <c r="J83" s="1085">
        <f t="shared" si="49"/>
        <v>6.6150000000000002</v>
      </c>
      <c r="K83" s="1085">
        <f t="shared" si="50"/>
        <v>0</v>
      </c>
      <c r="L83" s="1085"/>
      <c r="M83" s="884">
        <v>0</v>
      </c>
      <c r="N83" s="884">
        <v>0</v>
      </c>
      <c r="O83" s="884">
        <v>0</v>
      </c>
      <c r="P83" s="1085"/>
      <c r="Q83" s="884">
        <v>1896.99</v>
      </c>
      <c r="R83" s="884">
        <v>13.23</v>
      </c>
      <c r="S83" s="884">
        <v>0</v>
      </c>
    </row>
    <row r="84" spans="1:19">
      <c r="A84" s="1115">
        <f t="shared" si="44"/>
        <v>9.139999999999997</v>
      </c>
      <c r="B84" s="884" t="s">
        <v>1000</v>
      </c>
      <c r="C84" s="884">
        <f t="shared" ref="C84" si="51">SUM(M84:O84)</f>
        <v>-116610.66</v>
      </c>
      <c r="D84" s="884">
        <f t="shared" ref="D84" si="52">SUM(Q84:S84)</f>
        <v>-18640.52</v>
      </c>
      <c r="E84" s="1085"/>
      <c r="F84" s="1085"/>
      <c r="G84" s="1085">
        <f>ROUND(SUM(C84:F84)/2,0)</f>
        <v>-67626</v>
      </c>
      <c r="H84" s="1085"/>
      <c r="I84" s="1085">
        <f t="shared" ref="I84" si="53">(M84+Q84)/2</f>
        <v>-67625.59</v>
      </c>
      <c r="J84" s="1085">
        <f t="shared" ref="J84" si="54">(N84+R84)/2</f>
        <v>0</v>
      </c>
      <c r="K84" s="1085">
        <f t="shared" ref="K84" si="55">(O84+S84)/2</f>
        <v>0</v>
      </c>
      <c r="L84" s="1085"/>
      <c r="M84" s="884">
        <v>-116610.66</v>
      </c>
      <c r="N84" s="884">
        <v>0</v>
      </c>
      <c r="O84" s="884">
        <v>0</v>
      </c>
      <c r="P84" s="1085"/>
      <c r="Q84" s="884">
        <v>-18640.52</v>
      </c>
      <c r="R84" s="884">
        <v>0</v>
      </c>
      <c r="S84" s="884">
        <v>0</v>
      </c>
    </row>
    <row r="85" spans="1:19">
      <c r="A85" s="1115">
        <f t="shared" si="44"/>
        <v>9.1499999999999968</v>
      </c>
      <c r="B85" s="884" t="s">
        <v>1077</v>
      </c>
      <c r="C85" s="884">
        <f t="shared" si="42"/>
        <v>0.04</v>
      </c>
      <c r="D85" s="884">
        <f t="shared" si="40"/>
        <v>0.04</v>
      </c>
      <c r="E85" s="1085"/>
      <c r="F85" s="1085"/>
      <c r="G85" s="1085">
        <f t="shared" si="41"/>
        <v>0</v>
      </c>
      <c r="H85" s="1085"/>
      <c r="I85" s="1085">
        <f t="shared" si="43"/>
        <v>0</v>
      </c>
      <c r="J85" s="1085">
        <f t="shared" si="43"/>
        <v>0.04</v>
      </c>
      <c r="K85" s="1085">
        <f t="shared" si="43"/>
        <v>0</v>
      </c>
      <c r="L85" s="1085"/>
      <c r="M85" s="884">
        <v>0</v>
      </c>
      <c r="N85" s="884">
        <v>0.04</v>
      </c>
      <c r="O85" s="884">
        <v>0</v>
      </c>
      <c r="P85" s="1085"/>
      <c r="Q85" s="884">
        <v>0</v>
      </c>
      <c r="R85" s="884">
        <v>0.04</v>
      </c>
      <c r="S85" s="884">
        <v>0</v>
      </c>
    </row>
    <row r="86" spans="1:19">
      <c r="A86" s="1115">
        <f t="shared" si="44"/>
        <v>9.1599999999999966</v>
      </c>
      <c r="B86" s="884" t="s">
        <v>1078</v>
      </c>
      <c r="C86" s="884">
        <f t="shared" si="42"/>
        <v>0</v>
      </c>
      <c r="D86" s="884">
        <f t="shared" si="40"/>
        <v>0</v>
      </c>
      <c r="E86" s="1085"/>
      <c r="F86" s="1085"/>
      <c r="G86" s="1085">
        <f t="shared" si="41"/>
        <v>0</v>
      </c>
      <c r="H86" s="1085"/>
      <c r="I86" s="1085">
        <f t="shared" si="43"/>
        <v>0</v>
      </c>
      <c r="J86" s="1085">
        <f t="shared" si="43"/>
        <v>0</v>
      </c>
      <c r="K86" s="1085">
        <f t="shared" si="43"/>
        <v>0</v>
      </c>
      <c r="L86" s="1085"/>
      <c r="M86" s="884">
        <v>0</v>
      </c>
      <c r="N86" s="884">
        <v>0</v>
      </c>
      <c r="O86" s="884">
        <v>0</v>
      </c>
      <c r="P86" s="1085"/>
      <c r="Q86" s="884">
        <v>0</v>
      </c>
      <c r="R86" s="884">
        <v>0</v>
      </c>
      <c r="S86" s="884">
        <v>0</v>
      </c>
    </row>
    <row r="87" spans="1:19">
      <c r="A87" s="1115">
        <f t="shared" si="44"/>
        <v>9.1699999999999964</v>
      </c>
      <c r="B87" s="884" t="s">
        <v>1079</v>
      </c>
      <c r="C87" s="884">
        <f t="shared" si="42"/>
        <v>1892707.62</v>
      </c>
      <c r="D87" s="884">
        <f t="shared" si="40"/>
        <v>1856277.45</v>
      </c>
      <c r="E87" s="1085"/>
      <c r="F87" s="1085"/>
      <c r="G87" s="1085">
        <f t="shared" si="41"/>
        <v>1874493</v>
      </c>
      <c r="H87" s="1085"/>
      <c r="I87" s="1085">
        <f t="shared" si="43"/>
        <v>1874492.5350000001</v>
      </c>
      <c r="J87" s="1085">
        <f t="shared" si="43"/>
        <v>0</v>
      </c>
      <c r="K87" s="1085">
        <f t="shared" si="43"/>
        <v>0</v>
      </c>
      <c r="L87" s="1085"/>
      <c r="M87" s="884">
        <v>1892707.62</v>
      </c>
      <c r="N87" s="884">
        <v>0</v>
      </c>
      <c r="O87" s="884">
        <v>0</v>
      </c>
      <c r="P87" s="1085"/>
      <c r="Q87" s="884">
        <v>1856277.45</v>
      </c>
      <c r="R87" s="884">
        <v>0</v>
      </c>
      <c r="S87" s="884">
        <v>0</v>
      </c>
    </row>
    <row r="88" spans="1:19">
      <c r="A88" s="1115">
        <f t="shared" si="44"/>
        <v>9.1799999999999962</v>
      </c>
      <c r="B88" s="884" t="s">
        <v>1080</v>
      </c>
      <c r="C88" s="884">
        <f t="shared" si="42"/>
        <v>64803.6</v>
      </c>
      <c r="D88" s="884">
        <f t="shared" si="40"/>
        <v>64803.6</v>
      </c>
      <c r="E88" s="1085"/>
      <c r="F88" s="1085"/>
      <c r="G88" s="1085">
        <f t="shared" si="41"/>
        <v>64804</v>
      </c>
      <c r="H88" s="1085"/>
      <c r="I88" s="1085">
        <f t="shared" si="43"/>
        <v>64803.6</v>
      </c>
      <c r="J88" s="1085">
        <f t="shared" si="43"/>
        <v>0</v>
      </c>
      <c r="K88" s="1085">
        <f t="shared" si="43"/>
        <v>0</v>
      </c>
      <c r="L88" s="1085"/>
      <c r="M88" s="884">
        <v>64803.6</v>
      </c>
      <c r="N88" s="884">
        <v>0</v>
      </c>
      <c r="O88" s="884">
        <v>0</v>
      </c>
      <c r="P88" s="1085"/>
      <c r="Q88" s="884">
        <v>64803.6</v>
      </c>
      <c r="R88" s="884">
        <v>0</v>
      </c>
      <c r="S88" s="884">
        <v>0</v>
      </c>
    </row>
    <row r="89" spans="1:19">
      <c r="A89" s="1115">
        <f t="shared" si="44"/>
        <v>9.1899999999999959</v>
      </c>
      <c r="B89" s="884" t="s">
        <v>1081</v>
      </c>
      <c r="C89" s="884">
        <f t="shared" si="42"/>
        <v>-143650.53</v>
      </c>
      <c r="D89" s="884">
        <f t="shared" si="40"/>
        <v>-143650.53</v>
      </c>
      <c r="E89" s="1085"/>
      <c r="F89" s="1085"/>
      <c r="G89" s="1085">
        <f t="shared" si="41"/>
        <v>-143651</v>
      </c>
      <c r="H89" s="1085"/>
      <c r="I89" s="1085">
        <f t="shared" si="43"/>
        <v>-143650.53</v>
      </c>
      <c r="J89" s="1085">
        <f t="shared" si="43"/>
        <v>0</v>
      </c>
      <c r="K89" s="1085">
        <f t="shared" si="43"/>
        <v>0</v>
      </c>
      <c r="L89" s="1085"/>
      <c r="M89" s="884">
        <v>-143650.53</v>
      </c>
      <c r="N89" s="884">
        <v>0</v>
      </c>
      <c r="O89" s="884">
        <v>0</v>
      </c>
      <c r="P89" s="1085"/>
      <c r="Q89" s="884">
        <v>-143650.53</v>
      </c>
      <c r="R89" s="884">
        <v>0</v>
      </c>
      <c r="S89" s="884">
        <v>0</v>
      </c>
    </row>
    <row r="90" spans="1:19">
      <c r="A90" s="1115">
        <f t="shared" si="44"/>
        <v>9.1999999999999957</v>
      </c>
      <c r="B90" s="884" t="s">
        <v>1082</v>
      </c>
      <c r="C90" s="884">
        <f t="shared" si="42"/>
        <v>-4980.93</v>
      </c>
      <c r="D90" s="884">
        <f t="shared" si="40"/>
        <v>-4980.93</v>
      </c>
      <c r="E90" s="1085"/>
      <c r="F90" s="1085"/>
      <c r="G90" s="1085">
        <f t="shared" si="41"/>
        <v>-4981</v>
      </c>
      <c r="H90" s="1085"/>
      <c r="I90" s="1085">
        <f t="shared" si="43"/>
        <v>-4980.93</v>
      </c>
      <c r="J90" s="1085">
        <f t="shared" si="43"/>
        <v>0</v>
      </c>
      <c r="K90" s="1085">
        <f t="shared" si="43"/>
        <v>0</v>
      </c>
      <c r="L90" s="1085"/>
      <c r="M90" s="884">
        <v>-4980.93</v>
      </c>
      <c r="N90" s="884">
        <v>0</v>
      </c>
      <c r="O90" s="884">
        <v>0</v>
      </c>
      <c r="P90" s="1085"/>
      <c r="Q90" s="884">
        <v>-4980.93</v>
      </c>
      <c r="R90" s="884">
        <v>0</v>
      </c>
      <c r="S90" s="884">
        <v>0</v>
      </c>
    </row>
    <row r="91" spans="1:19">
      <c r="A91" s="1115">
        <f t="shared" si="44"/>
        <v>9.2099999999999955</v>
      </c>
      <c r="B91" s="884" t="s">
        <v>998</v>
      </c>
      <c r="C91" s="884">
        <f t="shared" si="42"/>
        <v>52346.400000000001</v>
      </c>
      <c r="D91" s="884">
        <f t="shared" si="40"/>
        <v>52346.400000000001</v>
      </c>
      <c r="E91" s="1085"/>
      <c r="F91" s="1085"/>
      <c r="G91" s="1085">
        <f t="shared" si="41"/>
        <v>52346</v>
      </c>
      <c r="H91" s="1085"/>
      <c r="I91" s="1085">
        <f t="shared" si="43"/>
        <v>52346.400000000001</v>
      </c>
      <c r="J91" s="1085">
        <f t="shared" si="43"/>
        <v>0</v>
      </c>
      <c r="K91" s="1085">
        <f t="shared" si="43"/>
        <v>0</v>
      </c>
      <c r="L91" s="1085"/>
      <c r="M91" s="884">
        <v>52346.400000000001</v>
      </c>
      <c r="N91" s="884">
        <v>0</v>
      </c>
      <c r="O91" s="884">
        <v>0</v>
      </c>
      <c r="P91" s="1085"/>
      <c r="Q91" s="884">
        <v>52346.400000000001</v>
      </c>
      <c r="R91" s="884">
        <v>0</v>
      </c>
      <c r="S91" s="884">
        <v>0</v>
      </c>
    </row>
    <row r="92" spans="1:19">
      <c r="A92" s="1115">
        <f t="shared" si="44"/>
        <v>9.2199999999999953</v>
      </c>
      <c r="B92" s="884" t="s">
        <v>1083</v>
      </c>
      <c r="C92" s="884">
        <f t="shared" si="42"/>
        <v>0</v>
      </c>
      <c r="D92" s="884">
        <f t="shared" si="40"/>
        <v>0</v>
      </c>
      <c r="E92" s="1090"/>
      <c r="F92" s="1090"/>
      <c r="G92" s="1090">
        <f t="shared" si="41"/>
        <v>0</v>
      </c>
      <c r="H92" s="1090"/>
      <c r="I92" s="1090">
        <f t="shared" si="43"/>
        <v>0</v>
      </c>
      <c r="J92" s="1090">
        <f t="shared" si="43"/>
        <v>0</v>
      </c>
      <c r="K92" s="1090">
        <f t="shared" si="43"/>
        <v>0</v>
      </c>
      <c r="L92" s="1090"/>
      <c r="M92" s="884">
        <v>0</v>
      </c>
      <c r="N92" s="884">
        <v>0</v>
      </c>
      <c r="O92" s="884">
        <v>0</v>
      </c>
      <c r="P92" s="1090"/>
      <c r="Q92" s="884">
        <v>0</v>
      </c>
      <c r="R92" s="884">
        <v>0</v>
      </c>
      <c r="S92" s="884">
        <v>0</v>
      </c>
    </row>
    <row r="93" spans="1:19">
      <c r="A93" s="1115">
        <f t="shared" si="44"/>
        <v>9.2299999999999951</v>
      </c>
      <c r="B93" s="884" t="s">
        <v>1084</v>
      </c>
      <c r="C93" s="884">
        <f t="shared" si="42"/>
        <v>9647434.8599999994</v>
      </c>
      <c r="D93" s="884">
        <f t="shared" si="40"/>
        <v>7284390.5399999991</v>
      </c>
      <c r="E93" s="1085"/>
      <c r="F93" s="1085"/>
      <c r="G93" s="1085">
        <f t="shared" si="41"/>
        <v>8465913</v>
      </c>
      <c r="H93" s="1085"/>
      <c r="I93" s="1085">
        <f t="shared" si="43"/>
        <v>3263968.89</v>
      </c>
      <c r="J93" s="1085">
        <f t="shared" si="43"/>
        <v>531968.32499999995</v>
      </c>
      <c r="K93" s="1085">
        <f t="shared" si="43"/>
        <v>4669975.4849999994</v>
      </c>
      <c r="L93" s="1085"/>
      <c r="M93" s="884">
        <v>4318669.95</v>
      </c>
      <c r="N93" s="884">
        <v>525430.07999999996</v>
      </c>
      <c r="O93" s="884">
        <v>4803334.83</v>
      </c>
      <c r="P93" s="1085"/>
      <c r="Q93" s="884">
        <v>2209267.83</v>
      </c>
      <c r="R93" s="884">
        <v>538506.56999999995</v>
      </c>
      <c r="S93" s="884">
        <v>4536616.1399999997</v>
      </c>
    </row>
    <row r="94" spans="1:19">
      <c r="A94" s="1115">
        <f t="shared" si="44"/>
        <v>9.2399999999999949</v>
      </c>
      <c r="B94" s="884" t="s">
        <v>1085</v>
      </c>
      <c r="C94" s="884">
        <f t="shared" si="42"/>
        <v>-21245.91</v>
      </c>
      <c r="D94" s="884">
        <f t="shared" si="40"/>
        <v>-19890.150000000001</v>
      </c>
      <c r="E94" s="1085"/>
      <c r="F94" s="1085"/>
      <c r="G94" s="1085">
        <f t="shared" si="41"/>
        <v>-20568</v>
      </c>
      <c r="H94" s="1085"/>
      <c r="I94" s="1085">
        <f t="shared" si="43"/>
        <v>1150.5900000000001</v>
      </c>
      <c r="J94" s="1085">
        <f t="shared" si="43"/>
        <v>0</v>
      </c>
      <c r="K94" s="1085">
        <f t="shared" si="43"/>
        <v>-21718.620000000003</v>
      </c>
      <c r="L94" s="1085"/>
      <c r="M94" s="884">
        <v>1065.54</v>
      </c>
      <c r="N94" s="884">
        <v>0</v>
      </c>
      <c r="O94" s="884">
        <v>-22311.45</v>
      </c>
      <c r="P94" s="1085"/>
      <c r="Q94" s="884">
        <v>1235.6400000000001</v>
      </c>
      <c r="R94" s="884">
        <v>0</v>
      </c>
      <c r="S94" s="884">
        <v>-21125.79</v>
      </c>
    </row>
    <row r="95" spans="1:19">
      <c r="A95" s="1115">
        <f t="shared" si="44"/>
        <v>9.2499999999999947</v>
      </c>
      <c r="B95" s="884" t="s">
        <v>1086</v>
      </c>
      <c r="C95" s="884">
        <f t="shared" si="42"/>
        <v>-442497.92000000004</v>
      </c>
      <c r="D95" s="884">
        <f t="shared" si="40"/>
        <v>-1164059.3900000001</v>
      </c>
      <c r="E95" s="1085"/>
      <c r="F95" s="1085"/>
      <c r="G95" s="1085">
        <f t="shared" si="41"/>
        <v>-803279</v>
      </c>
      <c r="H95" s="1085"/>
      <c r="I95" s="1085">
        <f t="shared" si="43"/>
        <v>-879576.8</v>
      </c>
      <c r="J95" s="1085">
        <f t="shared" si="43"/>
        <v>215444.66999999998</v>
      </c>
      <c r="K95" s="1085">
        <f t="shared" si="43"/>
        <v>-139146.52499999999</v>
      </c>
      <c r="L95" s="1085"/>
      <c r="M95" s="884">
        <v>-628627.01</v>
      </c>
      <c r="N95" s="884">
        <v>203598.36</v>
      </c>
      <c r="O95" s="884">
        <v>-17469.27</v>
      </c>
      <c r="P95" s="1085"/>
      <c r="Q95" s="884">
        <v>-1130526.5900000001</v>
      </c>
      <c r="R95" s="884">
        <v>227290.98</v>
      </c>
      <c r="S95" s="884">
        <v>-260823.78</v>
      </c>
    </row>
    <row r="96" spans="1:19">
      <c r="A96" s="1115">
        <f t="shared" si="44"/>
        <v>9.2599999999999945</v>
      </c>
      <c r="B96" s="884" t="s">
        <v>1268</v>
      </c>
      <c r="C96" s="884">
        <f t="shared" ref="C96:C97" si="56">SUM(M96:O96)</f>
        <v>0</v>
      </c>
      <c r="D96" s="884">
        <f t="shared" ref="D96:D97" si="57">SUM(Q96:S96)</f>
        <v>99158.5</v>
      </c>
      <c r="E96" s="1085"/>
      <c r="F96" s="1085"/>
      <c r="G96" s="1085">
        <f t="shared" ref="G96:G97" si="58">ROUND(SUM(C96:F96)/2,0)</f>
        <v>49579</v>
      </c>
      <c r="H96" s="1085"/>
      <c r="I96" s="1085">
        <f t="shared" ref="I96:I97" si="59">(M96+Q96)/2</f>
        <v>49579.25</v>
      </c>
      <c r="J96" s="1085">
        <f t="shared" ref="J96:J97" si="60">(N96+R96)/2</f>
        <v>0</v>
      </c>
      <c r="K96" s="1085">
        <f t="shared" ref="K96:K97" si="61">(O96+S96)/2</f>
        <v>0</v>
      </c>
      <c r="L96" s="1085"/>
      <c r="M96" s="884">
        <v>0</v>
      </c>
      <c r="N96" s="884">
        <v>0</v>
      </c>
      <c r="O96" s="884">
        <v>0</v>
      </c>
      <c r="P96" s="1085"/>
      <c r="Q96" s="884">
        <v>99158.5</v>
      </c>
      <c r="R96" s="884">
        <v>0</v>
      </c>
      <c r="S96" s="884">
        <v>0</v>
      </c>
    </row>
    <row r="97" spans="1:19">
      <c r="A97" s="1115">
        <f t="shared" si="44"/>
        <v>9.2699999999999942</v>
      </c>
      <c r="B97" s="884" t="s">
        <v>1269</v>
      </c>
      <c r="C97" s="884">
        <f t="shared" si="56"/>
        <v>0</v>
      </c>
      <c r="D97" s="884">
        <f t="shared" si="57"/>
        <v>-22365.03</v>
      </c>
      <c r="E97" s="1085"/>
      <c r="F97" s="1085"/>
      <c r="G97" s="1085">
        <f t="shared" si="58"/>
        <v>-11183</v>
      </c>
      <c r="H97" s="1085"/>
      <c r="I97" s="1085">
        <f t="shared" si="59"/>
        <v>-11182.514999999999</v>
      </c>
      <c r="J97" s="1085">
        <f t="shared" si="60"/>
        <v>0</v>
      </c>
      <c r="K97" s="1085">
        <f t="shared" si="61"/>
        <v>0</v>
      </c>
      <c r="L97" s="1085"/>
      <c r="M97" s="884">
        <v>0</v>
      </c>
      <c r="N97" s="884">
        <v>0</v>
      </c>
      <c r="O97" s="884">
        <v>0</v>
      </c>
      <c r="P97" s="1085"/>
      <c r="Q97" s="884">
        <v>-22365.03</v>
      </c>
      <c r="R97" s="884">
        <v>0</v>
      </c>
      <c r="S97" s="884">
        <v>0</v>
      </c>
    </row>
    <row r="98" spans="1:19">
      <c r="A98" s="1115">
        <f t="shared" si="44"/>
        <v>9.279999999999994</v>
      </c>
      <c r="B98" s="884" t="s">
        <v>1087</v>
      </c>
      <c r="C98" s="884">
        <f t="shared" si="42"/>
        <v>-7977.2000000000007</v>
      </c>
      <c r="D98" s="884">
        <f t="shared" si="40"/>
        <v>-17344.670000000002</v>
      </c>
      <c r="E98" s="1085"/>
      <c r="F98" s="1085"/>
      <c r="G98" s="1085">
        <f t="shared" si="41"/>
        <v>-12661</v>
      </c>
      <c r="H98" s="1085"/>
      <c r="I98" s="1085">
        <f t="shared" si="43"/>
        <v>-7334.84</v>
      </c>
      <c r="J98" s="1085">
        <f t="shared" si="43"/>
        <v>-2163.1999999999998</v>
      </c>
      <c r="K98" s="1085">
        <f t="shared" si="43"/>
        <v>-3162.8950000000004</v>
      </c>
      <c r="L98" s="1085"/>
      <c r="M98" s="884">
        <v>-4595.25</v>
      </c>
      <c r="N98" s="884">
        <v>-1343.47</v>
      </c>
      <c r="O98" s="884">
        <v>-2038.48</v>
      </c>
      <c r="P98" s="1085"/>
      <c r="Q98" s="884">
        <v>-10074.43</v>
      </c>
      <c r="R98" s="884">
        <v>-2982.93</v>
      </c>
      <c r="S98" s="884">
        <v>-4287.3100000000004</v>
      </c>
    </row>
    <row r="99" spans="1:19">
      <c r="A99" s="1115">
        <f t="shared" si="44"/>
        <v>9.2899999999999938</v>
      </c>
      <c r="B99" s="884" t="s">
        <v>1088</v>
      </c>
      <c r="C99" s="884">
        <f t="shared" si="42"/>
        <v>16490.52</v>
      </c>
      <c r="D99" s="884">
        <f t="shared" si="40"/>
        <v>36154.559999999998</v>
      </c>
      <c r="E99" s="1085"/>
      <c r="F99" s="1085"/>
      <c r="G99" s="1085">
        <f t="shared" si="41"/>
        <v>26323</v>
      </c>
      <c r="H99" s="1085"/>
      <c r="I99" s="1085">
        <f t="shared" si="43"/>
        <v>15259.724999999999</v>
      </c>
      <c r="J99" s="1085">
        <f t="shared" si="43"/>
        <v>4496.78</v>
      </c>
      <c r="K99" s="1085">
        <f t="shared" si="43"/>
        <v>6566.0349999999999</v>
      </c>
      <c r="L99" s="1085"/>
      <c r="M99" s="884">
        <v>9509.17</v>
      </c>
      <c r="N99" s="884">
        <v>2776.28</v>
      </c>
      <c r="O99" s="884">
        <v>4205.07</v>
      </c>
      <c r="P99" s="1085"/>
      <c r="Q99" s="884">
        <v>21010.28</v>
      </c>
      <c r="R99" s="884">
        <v>6217.28</v>
      </c>
      <c r="S99" s="884">
        <v>8927</v>
      </c>
    </row>
    <row r="100" spans="1:19">
      <c r="A100" s="1115">
        <f t="shared" si="44"/>
        <v>9.2999999999999936</v>
      </c>
      <c r="B100" s="884" t="s">
        <v>1089</v>
      </c>
      <c r="C100" s="884">
        <f t="shared" si="42"/>
        <v>51967.61</v>
      </c>
      <c r="D100" s="884">
        <f t="shared" si="40"/>
        <v>115251.34</v>
      </c>
      <c r="E100" s="1085"/>
      <c r="F100" s="1085"/>
      <c r="G100" s="1085">
        <f>ROUND(SUM(C100:F100)/2,0)</f>
        <v>83609</v>
      </c>
      <c r="H100" s="1085"/>
      <c r="I100" s="1085">
        <f t="shared" si="43"/>
        <v>48751.784999999996</v>
      </c>
      <c r="J100" s="1085">
        <f t="shared" si="43"/>
        <v>14155.275</v>
      </c>
      <c r="K100" s="1085">
        <f t="shared" si="43"/>
        <v>20702.415000000001</v>
      </c>
      <c r="L100" s="1085"/>
      <c r="M100" s="884">
        <v>30248.42</v>
      </c>
      <c r="N100" s="884">
        <v>8618.36</v>
      </c>
      <c r="O100" s="884">
        <v>13100.83</v>
      </c>
      <c r="P100" s="1085"/>
      <c r="Q100" s="884">
        <v>67255.149999999994</v>
      </c>
      <c r="R100" s="884">
        <v>19692.189999999999</v>
      </c>
      <c r="S100" s="884">
        <v>28304</v>
      </c>
    </row>
    <row r="101" spans="1:19">
      <c r="A101" s="1115">
        <f t="shared" si="44"/>
        <v>9.3099999999999934</v>
      </c>
      <c r="B101" s="884" t="s">
        <v>1090</v>
      </c>
      <c r="C101" s="884">
        <f t="shared" si="42"/>
        <v>218105.15</v>
      </c>
      <c r="D101" s="884">
        <f t="shared" si="40"/>
        <v>218105.15</v>
      </c>
      <c r="E101" s="1085"/>
      <c r="F101" s="1085"/>
      <c r="G101" s="1085">
        <f t="shared" si="41"/>
        <v>218105</v>
      </c>
      <c r="H101" s="1085"/>
      <c r="I101" s="1085">
        <f t="shared" si="43"/>
        <v>218105.15</v>
      </c>
      <c r="J101" s="1085">
        <f t="shared" si="43"/>
        <v>0</v>
      </c>
      <c r="K101" s="1085">
        <f t="shared" si="43"/>
        <v>0</v>
      </c>
      <c r="L101" s="1085"/>
      <c r="M101" s="884">
        <v>218105.15</v>
      </c>
      <c r="N101" s="884">
        <v>0</v>
      </c>
      <c r="O101" s="884">
        <v>0</v>
      </c>
      <c r="P101" s="1085"/>
      <c r="Q101" s="884">
        <v>218105.15</v>
      </c>
      <c r="R101" s="884">
        <v>0</v>
      </c>
      <c r="S101" s="884">
        <v>0</v>
      </c>
    </row>
    <row r="102" spans="1:19">
      <c r="A102" s="1115">
        <f t="shared" si="44"/>
        <v>9.3199999999999932</v>
      </c>
      <c r="B102" s="884" t="s">
        <v>1091</v>
      </c>
      <c r="C102" s="884">
        <f t="shared" si="42"/>
        <v>75481.89</v>
      </c>
      <c r="D102" s="884">
        <f t="shared" si="40"/>
        <v>75481.89</v>
      </c>
      <c r="E102" s="1085"/>
      <c r="F102" s="1085"/>
      <c r="G102" s="1085">
        <f t="shared" si="41"/>
        <v>75482</v>
      </c>
      <c r="H102" s="1085"/>
      <c r="I102" s="1085">
        <f t="shared" si="43"/>
        <v>75481.89</v>
      </c>
      <c r="J102" s="1085">
        <f t="shared" si="43"/>
        <v>0</v>
      </c>
      <c r="K102" s="1085">
        <f t="shared" si="43"/>
        <v>0</v>
      </c>
      <c r="L102" s="1085"/>
      <c r="M102" s="884">
        <v>75481.89</v>
      </c>
      <c r="N102" s="884">
        <v>0</v>
      </c>
      <c r="O102" s="884">
        <v>0</v>
      </c>
      <c r="P102" s="1085"/>
      <c r="Q102" s="884">
        <v>75481.89</v>
      </c>
      <c r="R102" s="884">
        <v>0</v>
      </c>
      <c r="S102" s="884">
        <v>0</v>
      </c>
    </row>
    <row r="103" spans="1:19">
      <c r="A103" s="1115">
        <f t="shared" si="44"/>
        <v>9.329999999999993</v>
      </c>
      <c r="B103" s="884" t="s">
        <v>1092</v>
      </c>
      <c r="C103" s="884">
        <f t="shared" si="42"/>
        <v>18536.23</v>
      </c>
      <c r="D103" s="884">
        <f t="shared" si="40"/>
        <v>118208.3</v>
      </c>
      <c r="E103" s="1085"/>
      <c r="F103" s="1085"/>
      <c r="G103" s="1085">
        <f>ROUND(SUM(C103:F103)/2,0)</f>
        <v>68372</v>
      </c>
      <c r="H103" s="1085"/>
      <c r="I103" s="1085">
        <f t="shared" si="43"/>
        <v>0</v>
      </c>
      <c r="J103" s="1085">
        <f t="shared" si="43"/>
        <v>0</v>
      </c>
      <c r="K103" s="1085">
        <f t="shared" si="43"/>
        <v>68372.264999999999</v>
      </c>
      <c r="L103" s="1085"/>
      <c r="M103" s="884">
        <v>0</v>
      </c>
      <c r="N103" s="884">
        <v>0</v>
      </c>
      <c r="O103" s="884">
        <v>18536.23</v>
      </c>
      <c r="P103" s="1085"/>
      <c r="Q103" s="884">
        <v>0</v>
      </c>
      <c r="R103" s="884">
        <v>0</v>
      </c>
      <c r="S103" s="884">
        <v>118208.3</v>
      </c>
    </row>
    <row r="104" spans="1:19">
      <c r="A104" s="1115">
        <f t="shared" si="44"/>
        <v>9.3399999999999928</v>
      </c>
      <c r="B104" s="884" t="s">
        <v>1093</v>
      </c>
      <c r="C104" s="884">
        <f t="shared" si="42"/>
        <v>150306.17000000001</v>
      </c>
      <c r="D104" s="884">
        <f t="shared" si="40"/>
        <v>142974.15</v>
      </c>
      <c r="E104" s="1085"/>
      <c r="F104" s="1085"/>
      <c r="G104" s="1085">
        <f t="shared" si="41"/>
        <v>146640</v>
      </c>
      <c r="H104" s="1085"/>
      <c r="I104" s="1085">
        <f t="shared" si="43"/>
        <v>146640.16</v>
      </c>
      <c r="J104" s="1085">
        <f t="shared" si="43"/>
        <v>0</v>
      </c>
      <c r="K104" s="1085">
        <f t="shared" si="43"/>
        <v>0</v>
      </c>
      <c r="L104" s="1085"/>
      <c r="M104" s="884">
        <v>150306.17000000001</v>
      </c>
      <c r="N104" s="884">
        <v>0</v>
      </c>
      <c r="O104" s="884">
        <v>0</v>
      </c>
      <c r="P104" s="1085"/>
      <c r="Q104" s="884">
        <v>142974.15</v>
      </c>
      <c r="R104" s="884">
        <v>0</v>
      </c>
      <c r="S104" s="884">
        <v>0</v>
      </c>
    </row>
    <row r="105" spans="1:19">
      <c r="A105" s="1115">
        <f t="shared" si="44"/>
        <v>9.3499999999999925</v>
      </c>
      <c r="B105" s="884" t="s">
        <v>1094</v>
      </c>
      <c r="C105" s="884">
        <f t="shared" si="42"/>
        <v>0</v>
      </c>
      <c r="D105" s="884">
        <f t="shared" si="40"/>
        <v>0</v>
      </c>
      <c r="E105" s="1085"/>
      <c r="F105" s="1085"/>
      <c r="G105" s="1085">
        <f t="shared" si="41"/>
        <v>0</v>
      </c>
      <c r="H105" s="1085"/>
      <c r="I105" s="1085">
        <f t="shared" si="43"/>
        <v>0</v>
      </c>
      <c r="J105" s="1085">
        <f t="shared" si="43"/>
        <v>0</v>
      </c>
      <c r="K105" s="1085">
        <f t="shared" si="43"/>
        <v>0</v>
      </c>
      <c r="L105" s="1085"/>
      <c r="M105" s="884">
        <v>0</v>
      </c>
      <c r="N105" s="884">
        <v>0</v>
      </c>
      <c r="O105" s="884">
        <v>0</v>
      </c>
      <c r="P105" s="1085"/>
      <c r="Q105" s="884">
        <v>0</v>
      </c>
      <c r="R105" s="884">
        <v>0</v>
      </c>
      <c r="S105" s="884">
        <v>0</v>
      </c>
    </row>
    <row r="106" spans="1:19">
      <c r="A106" s="1115">
        <f t="shared" si="44"/>
        <v>9.3599999999999923</v>
      </c>
      <c r="B106" s="884" t="s">
        <v>1095</v>
      </c>
      <c r="C106" s="884">
        <f t="shared" si="42"/>
        <v>-442480</v>
      </c>
      <c r="D106" s="884">
        <f t="shared" si="40"/>
        <v>-442479.89</v>
      </c>
      <c r="E106" s="1085"/>
      <c r="F106" s="1085"/>
      <c r="G106" s="1085">
        <f t="shared" si="41"/>
        <v>-442480</v>
      </c>
      <c r="H106" s="1085"/>
      <c r="I106" s="1085">
        <f t="shared" si="43"/>
        <v>-442479.94500000001</v>
      </c>
      <c r="J106" s="1085">
        <f t="shared" si="43"/>
        <v>0</v>
      </c>
      <c r="K106" s="1085">
        <f t="shared" si="43"/>
        <v>0</v>
      </c>
      <c r="L106" s="1085"/>
      <c r="M106" s="884">
        <v>-442480</v>
      </c>
      <c r="N106" s="884">
        <v>0</v>
      </c>
      <c r="O106" s="884">
        <v>0</v>
      </c>
      <c r="P106" s="1085"/>
      <c r="Q106" s="884">
        <v>-442479.89</v>
      </c>
      <c r="R106" s="884">
        <v>0</v>
      </c>
      <c r="S106" s="884">
        <v>0</v>
      </c>
    </row>
    <row r="107" spans="1:19">
      <c r="A107" s="1115">
        <f t="shared" si="44"/>
        <v>9.3699999999999921</v>
      </c>
      <c r="B107" s="884" t="s">
        <v>1096</v>
      </c>
      <c r="C107" s="884">
        <f t="shared" si="42"/>
        <v>-4246064.59</v>
      </c>
      <c r="D107" s="884">
        <f t="shared" si="40"/>
        <v>-5466700.4400000004</v>
      </c>
      <c r="E107" s="1085"/>
      <c r="F107" s="1085"/>
      <c r="G107" s="1085">
        <f t="shared" si="41"/>
        <v>-4856383</v>
      </c>
      <c r="H107" s="1085"/>
      <c r="I107" s="1085">
        <f t="shared" si="43"/>
        <v>-4856382.5150000006</v>
      </c>
      <c r="J107" s="1085">
        <f t="shared" si="43"/>
        <v>0</v>
      </c>
      <c r="K107" s="1085">
        <f t="shared" si="43"/>
        <v>0</v>
      </c>
      <c r="L107" s="1085"/>
      <c r="M107" s="884">
        <v>-4246064.59</v>
      </c>
      <c r="N107" s="884">
        <v>0</v>
      </c>
      <c r="O107" s="884">
        <v>0</v>
      </c>
      <c r="P107" s="1085"/>
      <c r="Q107" s="884">
        <v>-5466700.4400000004</v>
      </c>
      <c r="R107" s="884">
        <v>0</v>
      </c>
      <c r="S107" s="884">
        <v>0</v>
      </c>
    </row>
    <row r="108" spans="1:19">
      <c r="A108" s="1115">
        <f t="shared" si="44"/>
        <v>9.3799999999999919</v>
      </c>
      <c r="B108" s="884" t="s">
        <v>1097</v>
      </c>
      <c r="C108" s="884">
        <f t="shared" si="42"/>
        <v>232134.41</v>
      </c>
      <c r="D108" s="884">
        <f t="shared" si="40"/>
        <v>194401.76</v>
      </c>
      <c r="E108" s="1085"/>
      <c r="F108" s="1085"/>
      <c r="G108" s="1085">
        <f t="shared" si="41"/>
        <v>213268</v>
      </c>
      <c r="H108" s="1085"/>
      <c r="I108" s="1085">
        <f t="shared" si="43"/>
        <v>213268.08500000002</v>
      </c>
      <c r="J108" s="1085">
        <f t="shared" si="43"/>
        <v>0</v>
      </c>
      <c r="K108" s="1085">
        <f t="shared" si="43"/>
        <v>0</v>
      </c>
      <c r="L108" s="1085"/>
      <c r="M108" s="884">
        <v>232134.41</v>
      </c>
      <c r="N108" s="884">
        <v>0</v>
      </c>
      <c r="O108" s="884">
        <v>0</v>
      </c>
      <c r="P108" s="1085"/>
      <c r="Q108" s="884">
        <v>194401.76</v>
      </c>
      <c r="R108" s="884">
        <v>0</v>
      </c>
      <c r="S108" s="884">
        <v>0</v>
      </c>
    </row>
    <row r="109" spans="1:19">
      <c r="A109" s="1115">
        <f t="shared" si="44"/>
        <v>9.3899999999999917</v>
      </c>
      <c r="B109" s="884" t="s">
        <v>1098</v>
      </c>
      <c r="C109" s="884">
        <f t="shared" si="42"/>
        <v>0</v>
      </c>
      <c r="D109" s="884">
        <f t="shared" si="40"/>
        <v>0</v>
      </c>
      <c r="E109" s="1085"/>
      <c r="F109" s="1085"/>
      <c r="G109" s="1085">
        <f t="shared" si="41"/>
        <v>0</v>
      </c>
      <c r="H109" s="1085"/>
      <c r="I109" s="1085">
        <f t="shared" si="43"/>
        <v>0</v>
      </c>
      <c r="J109" s="1085">
        <f t="shared" si="43"/>
        <v>0</v>
      </c>
      <c r="K109" s="1085">
        <f t="shared" si="43"/>
        <v>0</v>
      </c>
      <c r="L109" s="1085"/>
      <c r="M109" s="884">
        <v>0</v>
      </c>
      <c r="N109" s="884">
        <v>0</v>
      </c>
      <c r="O109" s="884">
        <v>0</v>
      </c>
      <c r="P109" s="1085"/>
      <c r="Q109" s="884">
        <v>0</v>
      </c>
      <c r="R109" s="884">
        <v>0</v>
      </c>
      <c r="S109" s="884">
        <v>0</v>
      </c>
    </row>
    <row r="110" spans="1:19">
      <c r="A110" s="1115">
        <f t="shared" si="44"/>
        <v>9.3999999999999915</v>
      </c>
      <c r="B110" s="884" t="s">
        <v>1099</v>
      </c>
      <c r="C110" s="884">
        <f t="shared" si="42"/>
        <v>913000.1</v>
      </c>
      <c r="D110" s="884">
        <f t="shared" si="40"/>
        <v>1290709.5</v>
      </c>
      <c r="E110" s="1085"/>
      <c r="F110" s="1085"/>
      <c r="G110" s="1085">
        <f t="shared" si="41"/>
        <v>1101855</v>
      </c>
      <c r="H110" s="1085"/>
      <c r="I110" s="1085">
        <f t="shared" si="43"/>
        <v>1101854.8</v>
      </c>
      <c r="J110" s="1085">
        <f t="shared" si="43"/>
        <v>0</v>
      </c>
      <c r="K110" s="1085">
        <f t="shared" si="43"/>
        <v>0</v>
      </c>
      <c r="L110" s="1085"/>
      <c r="M110" s="884">
        <v>913000.1</v>
      </c>
      <c r="N110" s="884">
        <v>0</v>
      </c>
      <c r="O110" s="884">
        <v>0</v>
      </c>
      <c r="P110" s="1085"/>
      <c r="Q110" s="884">
        <v>1290709.5</v>
      </c>
      <c r="R110" s="884">
        <v>0</v>
      </c>
      <c r="S110" s="884">
        <v>0</v>
      </c>
    </row>
    <row r="111" spans="1:19">
      <c r="A111" s="1115">
        <f t="shared" si="44"/>
        <v>9.4099999999999913</v>
      </c>
      <c r="B111" s="884" t="s">
        <v>1100</v>
      </c>
      <c r="C111" s="884">
        <f t="shared" si="42"/>
        <v>0</v>
      </c>
      <c r="D111" s="884">
        <f t="shared" si="40"/>
        <v>0</v>
      </c>
      <c r="E111" s="1085"/>
      <c r="F111" s="1085"/>
      <c r="G111" s="1085">
        <f t="shared" si="41"/>
        <v>0</v>
      </c>
      <c r="H111" s="1085"/>
      <c r="I111" s="1085">
        <f t="shared" si="43"/>
        <v>0</v>
      </c>
      <c r="J111" s="1085">
        <f t="shared" si="43"/>
        <v>0</v>
      </c>
      <c r="K111" s="1085">
        <f t="shared" si="43"/>
        <v>0</v>
      </c>
      <c r="L111" s="1085"/>
      <c r="M111" s="884">
        <v>0</v>
      </c>
      <c r="N111" s="884">
        <v>0</v>
      </c>
      <c r="O111" s="884">
        <v>0</v>
      </c>
      <c r="P111" s="1085"/>
      <c r="Q111" s="884">
        <v>0</v>
      </c>
      <c r="R111" s="884">
        <v>0</v>
      </c>
      <c r="S111" s="884">
        <v>0</v>
      </c>
    </row>
    <row r="112" spans="1:19">
      <c r="A112" s="1115">
        <f t="shared" si="44"/>
        <v>9.419999999999991</v>
      </c>
      <c r="B112" s="884" t="s">
        <v>1101</v>
      </c>
      <c r="C112" s="884">
        <f t="shared" si="42"/>
        <v>0</v>
      </c>
      <c r="D112" s="884">
        <f t="shared" si="40"/>
        <v>0</v>
      </c>
      <c r="E112" s="1085"/>
      <c r="F112" s="1085"/>
      <c r="G112" s="1085">
        <f t="shared" si="41"/>
        <v>0</v>
      </c>
      <c r="H112" s="1085"/>
      <c r="I112" s="1085">
        <f t="shared" si="43"/>
        <v>0</v>
      </c>
      <c r="J112" s="1085">
        <f t="shared" si="43"/>
        <v>0</v>
      </c>
      <c r="K112" s="1085">
        <f t="shared" si="43"/>
        <v>0</v>
      </c>
      <c r="L112" s="1085"/>
      <c r="M112" s="884">
        <v>0</v>
      </c>
      <c r="N112" s="884">
        <v>0</v>
      </c>
      <c r="O112" s="884">
        <v>0</v>
      </c>
      <c r="P112" s="1085"/>
      <c r="Q112" s="884">
        <v>0</v>
      </c>
      <c r="R112" s="884">
        <v>0</v>
      </c>
      <c r="S112" s="884">
        <v>0</v>
      </c>
    </row>
    <row r="113" spans="1:19">
      <c r="A113" s="1115">
        <f t="shared" si="44"/>
        <v>9.4299999999999908</v>
      </c>
      <c r="B113" s="884" t="s">
        <v>1102</v>
      </c>
      <c r="C113" s="884">
        <f t="shared" si="42"/>
        <v>14825.58</v>
      </c>
      <c r="D113" s="884">
        <f t="shared" si="40"/>
        <v>14825.58</v>
      </c>
      <c r="E113" s="1085"/>
      <c r="F113" s="1085"/>
      <c r="G113" s="1085">
        <f t="shared" si="41"/>
        <v>14826</v>
      </c>
      <c r="H113" s="1085"/>
      <c r="I113" s="1085">
        <f t="shared" si="43"/>
        <v>14825.58</v>
      </c>
      <c r="J113" s="1085">
        <f t="shared" si="43"/>
        <v>0</v>
      </c>
      <c r="K113" s="1085">
        <f t="shared" si="43"/>
        <v>0</v>
      </c>
      <c r="L113" s="1085"/>
      <c r="M113" s="884">
        <v>14825.58</v>
      </c>
      <c r="N113" s="884">
        <v>0</v>
      </c>
      <c r="O113" s="884">
        <v>0</v>
      </c>
      <c r="P113" s="1085"/>
      <c r="Q113" s="884">
        <v>14825.58</v>
      </c>
      <c r="R113" s="884">
        <v>0</v>
      </c>
      <c r="S113" s="884">
        <v>0</v>
      </c>
    </row>
    <row r="114" spans="1:19">
      <c r="A114" s="1115">
        <f t="shared" si="44"/>
        <v>9.4399999999999906</v>
      </c>
      <c r="B114" s="884" t="s">
        <v>1103</v>
      </c>
      <c r="C114" s="884">
        <f t="shared" si="42"/>
        <v>0</v>
      </c>
      <c r="D114" s="884">
        <f t="shared" si="40"/>
        <v>0</v>
      </c>
      <c r="E114" s="1085"/>
      <c r="F114" s="1085"/>
      <c r="G114" s="1085">
        <f t="shared" si="41"/>
        <v>0</v>
      </c>
      <c r="H114" s="1085"/>
      <c r="I114" s="1085">
        <f t="shared" si="43"/>
        <v>0</v>
      </c>
      <c r="J114" s="1085">
        <f t="shared" si="43"/>
        <v>0</v>
      </c>
      <c r="K114" s="1085">
        <f t="shared" si="43"/>
        <v>0</v>
      </c>
      <c r="L114" s="1085"/>
      <c r="M114" s="884">
        <v>0</v>
      </c>
      <c r="N114" s="884">
        <v>0</v>
      </c>
      <c r="O114" s="884">
        <v>0</v>
      </c>
      <c r="P114" s="1085"/>
      <c r="Q114" s="884">
        <v>0</v>
      </c>
      <c r="R114" s="884">
        <v>0</v>
      </c>
      <c r="S114" s="884">
        <v>0</v>
      </c>
    </row>
    <row r="115" spans="1:19">
      <c r="A115" s="1115">
        <f t="shared" si="44"/>
        <v>9.4499999999999904</v>
      </c>
      <c r="B115" s="884" t="s">
        <v>1104</v>
      </c>
      <c r="C115" s="884">
        <f t="shared" si="42"/>
        <v>0</v>
      </c>
      <c r="D115" s="884">
        <f t="shared" si="40"/>
        <v>0</v>
      </c>
      <c r="E115" s="1085"/>
      <c r="F115" s="1085"/>
      <c r="G115" s="1085">
        <f t="shared" si="41"/>
        <v>0</v>
      </c>
      <c r="H115" s="1085"/>
      <c r="I115" s="1085">
        <f t="shared" si="43"/>
        <v>0</v>
      </c>
      <c r="J115" s="1085">
        <f t="shared" si="43"/>
        <v>0</v>
      </c>
      <c r="K115" s="1085">
        <f t="shared" si="43"/>
        <v>0</v>
      </c>
      <c r="L115" s="1085"/>
      <c r="M115" s="884">
        <v>0</v>
      </c>
      <c r="N115" s="884">
        <v>0</v>
      </c>
      <c r="O115" s="884">
        <v>0</v>
      </c>
      <c r="P115" s="1085"/>
      <c r="Q115" s="884">
        <v>0</v>
      </c>
      <c r="R115" s="884">
        <v>0</v>
      </c>
      <c r="S115" s="884">
        <v>0</v>
      </c>
    </row>
    <row r="116" spans="1:19">
      <c r="A116" s="1115">
        <f t="shared" si="44"/>
        <v>9.4599999999999902</v>
      </c>
      <c r="B116" s="884" t="s">
        <v>1105</v>
      </c>
      <c r="C116" s="884">
        <f t="shared" si="42"/>
        <v>-367348.71</v>
      </c>
      <c r="D116" s="884">
        <f t="shared" si="40"/>
        <v>-367348.71</v>
      </c>
      <c r="E116" s="1085"/>
      <c r="F116" s="1085"/>
      <c r="G116" s="1085">
        <f t="shared" si="41"/>
        <v>-367349</v>
      </c>
      <c r="H116" s="1085"/>
      <c r="I116" s="1085">
        <f t="shared" si="43"/>
        <v>-367348.71</v>
      </c>
      <c r="J116" s="1085">
        <f t="shared" si="43"/>
        <v>0</v>
      </c>
      <c r="K116" s="1085">
        <f t="shared" si="43"/>
        <v>0</v>
      </c>
      <c r="L116" s="1085"/>
      <c r="M116" s="884">
        <v>-367348.71</v>
      </c>
      <c r="N116" s="884">
        <v>0</v>
      </c>
      <c r="O116" s="884">
        <v>0</v>
      </c>
      <c r="P116" s="1085"/>
      <c r="Q116" s="884">
        <v>-367348.71</v>
      </c>
      <c r="R116" s="884">
        <v>0</v>
      </c>
      <c r="S116" s="884">
        <v>0</v>
      </c>
    </row>
    <row r="117" spans="1:19">
      <c r="A117" s="1115">
        <f t="shared" si="44"/>
        <v>9.46999999999999</v>
      </c>
      <c r="B117" s="884" t="s">
        <v>1106</v>
      </c>
      <c r="C117" s="884">
        <f t="shared" si="42"/>
        <v>743763.41</v>
      </c>
      <c r="D117" s="884">
        <f t="shared" si="40"/>
        <v>743763.41</v>
      </c>
      <c r="E117" s="1085"/>
      <c r="F117" s="1085"/>
      <c r="G117" s="1085">
        <f t="shared" si="41"/>
        <v>743763</v>
      </c>
      <c r="H117" s="1085"/>
      <c r="I117" s="1085">
        <f t="shared" si="43"/>
        <v>743763.41</v>
      </c>
      <c r="J117" s="1085">
        <f t="shared" si="43"/>
        <v>0</v>
      </c>
      <c r="K117" s="1085">
        <f t="shared" si="43"/>
        <v>0</v>
      </c>
      <c r="L117" s="1085"/>
      <c r="M117" s="884">
        <v>743763.41</v>
      </c>
      <c r="N117" s="884">
        <v>0</v>
      </c>
      <c r="O117" s="884">
        <v>0</v>
      </c>
      <c r="P117" s="1085"/>
      <c r="Q117" s="884">
        <v>743763.41</v>
      </c>
      <c r="R117" s="884">
        <v>0</v>
      </c>
      <c r="S117" s="884">
        <v>0</v>
      </c>
    </row>
    <row r="118" spans="1:19">
      <c r="A118" s="1115">
        <f t="shared" si="44"/>
        <v>9.4799999999999898</v>
      </c>
      <c r="B118" s="884" t="s">
        <v>1107</v>
      </c>
      <c r="C118" s="884">
        <f t="shared" si="42"/>
        <v>-170732.69</v>
      </c>
      <c r="D118" s="884">
        <f t="shared" si="40"/>
        <v>-381930.52</v>
      </c>
      <c r="E118" s="1085"/>
      <c r="F118" s="1085"/>
      <c r="G118" s="1085">
        <f t="shared" si="41"/>
        <v>-276332</v>
      </c>
      <c r="H118" s="1085"/>
      <c r="I118" s="1085">
        <f t="shared" si="43"/>
        <v>-276331.60499999998</v>
      </c>
      <c r="J118" s="1085">
        <f t="shared" si="43"/>
        <v>0</v>
      </c>
      <c r="K118" s="1085">
        <f t="shared" si="43"/>
        <v>0</v>
      </c>
      <c r="L118" s="1085"/>
      <c r="M118" s="884">
        <v>-170732.69</v>
      </c>
      <c r="N118" s="884">
        <v>0</v>
      </c>
      <c r="O118" s="884">
        <v>0</v>
      </c>
      <c r="P118" s="1085"/>
      <c r="Q118" s="884">
        <v>-381930.52</v>
      </c>
      <c r="R118" s="884">
        <v>0</v>
      </c>
      <c r="S118" s="884">
        <v>0</v>
      </c>
    </row>
    <row r="119" spans="1:19">
      <c r="A119" s="1115">
        <f t="shared" si="44"/>
        <v>9.4899999999999896</v>
      </c>
      <c r="B119" s="884" t="s">
        <v>1108</v>
      </c>
      <c r="C119" s="884">
        <f t="shared" si="42"/>
        <v>357812.12</v>
      </c>
      <c r="D119" s="884">
        <f t="shared" si="40"/>
        <v>800428.86</v>
      </c>
      <c r="E119" s="1085"/>
      <c r="F119" s="1085"/>
      <c r="G119" s="1085">
        <f t="shared" si="41"/>
        <v>579120</v>
      </c>
      <c r="H119" s="1085"/>
      <c r="I119" s="1085">
        <f t="shared" si="43"/>
        <v>579120.49</v>
      </c>
      <c r="J119" s="1085">
        <f t="shared" si="43"/>
        <v>0</v>
      </c>
      <c r="K119" s="1085">
        <f t="shared" si="43"/>
        <v>0</v>
      </c>
      <c r="L119" s="1085"/>
      <c r="M119" s="884">
        <v>357812.12</v>
      </c>
      <c r="N119" s="884">
        <v>0</v>
      </c>
      <c r="O119" s="884">
        <v>0</v>
      </c>
      <c r="P119" s="1085"/>
      <c r="Q119" s="884">
        <v>800428.86</v>
      </c>
      <c r="R119" s="884">
        <v>0</v>
      </c>
      <c r="S119" s="884">
        <v>0</v>
      </c>
    </row>
    <row r="120" spans="1:19">
      <c r="A120" s="1115">
        <f t="shared" si="44"/>
        <v>9.4999999999999893</v>
      </c>
      <c r="B120" s="884" t="s">
        <v>1109</v>
      </c>
      <c r="C120" s="884">
        <f t="shared" si="42"/>
        <v>6147580.6500000004</v>
      </c>
      <c r="D120" s="884">
        <f t="shared" si="40"/>
        <v>8247580.6399999997</v>
      </c>
      <c r="E120" s="1085"/>
      <c r="F120" s="1085"/>
      <c r="G120" s="1085">
        <f t="shared" si="41"/>
        <v>7197581</v>
      </c>
      <c r="H120" s="1085"/>
      <c r="I120" s="1085">
        <f t="shared" si="43"/>
        <v>7197580.6449999996</v>
      </c>
      <c r="J120" s="1085">
        <f t="shared" si="43"/>
        <v>0</v>
      </c>
      <c r="K120" s="1085">
        <f t="shared" si="43"/>
        <v>0</v>
      </c>
      <c r="L120" s="1085"/>
      <c r="M120" s="884">
        <v>6147580.6500000004</v>
      </c>
      <c r="N120" s="884">
        <v>0</v>
      </c>
      <c r="O120" s="884">
        <v>0</v>
      </c>
      <c r="P120" s="1085"/>
      <c r="Q120" s="884">
        <v>8247580.6399999997</v>
      </c>
      <c r="R120" s="884">
        <v>0</v>
      </c>
      <c r="S120" s="884">
        <v>0</v>
      </c>
    </row>
    <row r="121" spans="1:19">
      <c r="A121" s="1115">
        <f t="shared" si="44"/>
        <v>9.5099999999999891</v>
      </c>
      <c r="B121" s="884" t="s">
        <v>1270</v>
      </c>
      <c r="C121" s="884">
        <f t="shared" ref="C121" si="62">SUM(M121:O121)</f>
        <v>0</v>
      </c>
      <c r="D121" s="884">
        <f t="shared" ref="D121" si="63">SUM(Q121:S121)</f>
        <v>4718669.2</v>
      </c>
      <c r="E121" s="1085"/>
      <c r="F121" s="1085"/>
      <c r="G121" s="1085">
        <f t="shared" ref="G121" si="64">ROUND(SUM(C121:F121)/2,0)</f>
        <v>2359335</v>
      </c>
      <c r="H121" s="1085"/>
      <c r="I121" s="1085">
        <f t="shared" ref="I121" si="65">(M121+Q121)/2</f>
        <v>2359334.6</v>
      </c>
      <c r="J121" s="1085">
        <f t="shared" ref="J121" si="66">(N121+R121)/2</f>
        <v>0</v>
      </c>
      <c r="K121" s="1085">
        <f t="shared" ref="K121" si="67">(O121+S121)/2</f>
        <v>0</v>
      </c>
      <c r="L121" s="1085"/>
      <c r="M121" s="884">
        <v>0</v>
      </c>
      <c r="N121" s="884">
        <v>0</v>
      </c>
      <c r="O121" s="884">
        <v>0</v>
      </c>
      <c r="P121" s="1085"/>
      <c r="Q121" s="884">
        <v>4718669.2</v>
      </c>
      <c r="R121" s="884">
        <v>0</v>
      </c>
      <c r="S121" s="884">
        <v>0</v>
      </c>
    </row>
    <row r="122" spans="1:19">
      <c r="A122" s="1115">
        <f t="shared" si="44"/>
        <v>9.5199999999999889</v>
      </c>
      <c r="B122" s="884" t="s">
        <v>1141</v>
      </c>
      <c r="C122" s="884">
        <f t="shared" ref="C122:C123" si="68">SUM(M122:O122)</f>
        <v>56388.52</v>
      </c>
      <c r="D122" s="884">
        <f t="shared" ref="D122:D123" si="69">SUM(Q122:S122)</f>
        <v>73844.42</v>
      </c>
      <c r="E122" s="1085"/>
      <c r="F122" s="1085"/>
      <c r="G122" s="1085">
        <f t="shared" ref="G122:G123" si="70">ROUND(SUM(C122:F122)/2,0)</f>
        <v>65116</v>
      </c>
      <c r="H122" s="1085"/>
      <c r="I122" s="1085">
        <f t="shared" ref="I122:I123" si="71">(M122+Q122)/2</f>
        <v>65116.47</v>
      </c>
      <c r="J122" s="1085">
        <f t="shared" ref="J122:J123" si="72">(N122+R122)/2</f>
        <v>0</v>
      </c>
      <c r="K122" s="1085">
        <f t="shared" ref="K122:K123" si="73">(O122+S122)/2</f>
        <v>0</v>
      </c>
      <c r="L122" s="1085"/>
      <c r="M122" s="884">
        <v>56388.52</v>
      </c>
      <c r="N122" s="884">
        <v>0</v>
      </c>
      <c r="O122" s="884">
        <v>0</v>
      </c>
      <c r="P122" s="1085"/>
      <c r="Q122" s="884">
        <v>73844.42</v>
      </c>
      <c r="R122" s="884">
        <v>0</v>
      </c>
      <c r="S122" s="884">
        <v>0</v>
      </c>
    </row>
    <row r="123" spans="1:19">
      <c r="A123" s="1115">
        <f t="shared" si="44"/>
        <v>9.5299999999999887</v>
      </c>
      <c r="B123" s="884" t="s">
        <v>1142</v>
      </c>
      <c r="C123" s="884">
        <f t="shared" si="68"/>
        <v>-48132.66</v>
      </c>
      <c r="D123" s="884">
        <f t="shared" si="69"/>
        <v>-39695.67</v>
      </c>
      <c r="E123" s="1085"/>
      <c r="F123" s="1085"/>
      <c r="G123" s="1085">
        <f t="shared" si="70"/>
        <v>-43914</v>
      </c>
      <c r="H123" s="1085"/>
      <c r="I123" s="1085">
        <f t="shared" si="71"/>
        <v>-48484.085000000006</v>
      </c>
      <c r="J123" s="1085">
        <f t="shared" si="72"/>
        <v>4569.92</v>
      </c>
      <c r="K123" s="1085">
        <f t="shared" si="73"/>
        <v>0</v>
      </c>
      <c r="L123" s="1085"/>
      <c r="M123" s="884">
        <v>-48132.66</v>
      </c>
      <c r="N123" s="884">
        <v>0</v>
      </c>
      <c r="O123" s="884">
        <v>0</v>
      </c>
      <c r="P123" s="1085"/>
      <c r="Q123" s="884">
        <v>-48835.51</v>
      </c>
      <c r="R123" s="884">
        <v>9139.84</v>
      </c>
      <c r="S123" s="884">
        <v>0</v>
      </c>
    </row>
    <row r="124" spans="1:19">
      <c r="A124" s="1115">
        <f t="shared" si="44"/>
        <v>9.5399999999999885</v>
      </c>
      <c r="B124" s="884" t="s">
        <v>1271</v>
      </c>
      <c r="C124" s="884">
        <f t="shared" ref="C124" si="74">SUM(M124:O124)</f>
        <v>0</v>
      </c>
      <c r="D124" s="884">
        <f t="shared" ref="D124" si="75">SUM(Q124:S124)</f>
        <v>2248658.16</v>
      </c>
      <c r="E124" s="1085"/>
      <c r="F124" s="1085"/>
      <c r="G124" s="1085">
        <f t="shared" ref="G124" si="76">ROUND(SUM(C124:F124)/2,0)</f>
        <v>1124329</v>
      </c>
      <c r="H124" s="1085"/>
      <c r="I124" s="1085">
        <f t="shared" ref="I124" si="77">(M124+Q124)/2</f>
        <v>0</v>
      </c>
      <c r="J124" s="1085">
        <f t="shared" ref="J124" si="78">(N124+R124)/2</f>
        <v>17210.55</v>
      </c>
      <c r="K124" s="1085">
        <f t="shared" ref="K124" si="79">(O124+S124)/2</f>
        <v>1107118.53</v>
      </c>
      <c r="L124" s="1085"/>
      <c r="M124" s="884">
        <v>0</v>
      </c>
      <c r="N124" s="884">
        <v>0</v>
      </c>
      <c r="O124" s="884">
        <v>0</v>
      </c>
      <c r="P124" s="1085"/>
      <c r="Q124" s="884">
        <v>0</v>
      </c>
      <c r="R124" s="884">
        <v>34421.1</v>
      </c>
      <c r="S124" s="884">
        <v>2214237.06</v>
      </c>
    </row>
    <row r="125" spans="1:19">
      <c r="A125" s="1115">
        <f t="shared" si="44"/>
        <v>9.5499999999999883</v>
      </c>
      <c r="B125" s="884" t="s">
        <v>1110</v>
      </c>
      <c r="C125" s="884">
        <f t="shared" si="42"/>
        <v>-6104432.2999999998</v>
      </c>
      <c r="D125" s="884">
        <f t="shared" si="40"/>
        <v>-5567153.4500000002</v>
      </c>
      <c r="E125" s="1085"/>
      <c r="F125" s="1085"/>
      <c r="G125" s="1085">
        <f t="shared" si="41"/>
        <v>-5835793</v>
      </c>
      <c r="H125" s="1085"/>
      <c r="I125" s="1085">
        <f t="shared" si="43"/>
        <v>-5835792.875</v>
      </c>
      <c r="J125" s="1085">
        <f t="shared" si="43"/>
        <v>0</v>
      </c>
      <c r="K125" s="1085">
        <f t="shared" si="43"/>
        <v>0</v>
      </c>
      <c r="L125" s="1085"/>
      <c r="M125" s="884">
        <v>-6104432.2999999998</v>
      </c>
      <c r="N125" s="884">
        <v>0</v>
      </c>
      <c r="O125" s="884">
        <v>0</v>
      </c>
      <c r="P125" s="1085"/>
      <c r="Q125" s="884">
        <v>-5567153.4500000002</v>
      </c>
      <c r="R125" s="884">
        <v>0</v>
      </c>
      <c r="S125" s="884">
        <v>0</v>
      </c>
    </row>
    <row r="126" spans="1:19">
      <c r="A126" s="1115">
        <f t="shared" si="44"/>
        <v>9.5599999999999881</v>
      </c>
      <c r="B126" s="884" t="s">
        <v>1111</v>
      </c>
      <c r="C126" s="884">
        <f t="shared" si="42"/>
        <v>18345435.09</v>
      </c>
      <c r="D126" s="884">
        <f t="shared" si="40"/>
        <v>22498494</v>
      </c>
      <c r="E126" s="1090"/>
      <c r="F126" s="1090"/>
      <c r="G126" s="1090">
        <f t="shared" si="41"/>
        <v>20421965</v>
      </c>
      <c r="H126" s="1090"/>
      <c r="I126" s="1090">
        <f t="shared" si="43"/>
        <v>20421964.545000002</v>
      </c>
      <c r="J126" s="1090">
        <f t="shared" si="43"/>
        <v>0</v>
      </c>
      <c r="K126" s="1090">
        <f t="shared" si="43"/>
        <v>0</v>
      </c>
      <c r="L126" s="1090"/>
      <c r="M126" s="884">
        <v>18345435.09</v>
      </c>
      <c r="N126" s="884">
        <v>0</v>
      </c>
      <c r="O126" s="884">
        <v>0</v>
      </c>
      <c r="P126" s="1090"/>
      <c r="Q126" s="884">
        <v>22498494</v>
      </c>
      <c r="R126" s="884">
        <v>0</v>
      </c>
      <c r="S126" s="884">
        <v>0</v>
      </c>
    </row>
    <row r="127" spans="1:19">
      <c r="A127" s="1115">
        <f t="shared" si="44"/>
        <v>9.5699999999999878</v>
      </c>
      <c r="B127" s="884" t="s">
        <v>1112</v>
      </c>
      <c r="C127" s="884">
        <f t="shared" si="42"/>
        <v>53866902.939999998</v>
      </c>
      <c r="D127" s="884">
        <f t="shared" si="40"/>
        <v>53866902.939999998</v>
      </c>
      <c r="E127" s="1085"/>
      <c r="F127" s="1085"/>
      <c r="G127" s="1085">
        <f t="shared" si="41"/>
        <v>53866903</v>
      </c>
      <c r="H127" s="1085"/>
      <c r="I127" s="1085">
        <f t="shared" si="43"/>
        <v>53866902.939999998</v>
      </c>
      <c r="J127" s="1085">
        <f t="shared" si="43"/>
        <v>0</v>
      </c>
      <c r="K127" s="1085">
        <f t="shared" si="43"/>
        <v>0</v>
      </c>
      <c r="L127" s="1085"/>
      <c r="M127" s="884">
        <v>53866902.939999998</v>
      </c>
      <c r="N127" s="884">
        <v>0</v>
      </c>
      <c r="O127" s="884">
        <v>0</v>
      </c>
      <c r="P127" s="1085"/>
      <c r="Q127" s="884">
        <v>53866902.939999998</v>
      </c>
      <c r="R127" s="884">
        <v>0</v>
      </c>
      <c r="S127" s="884">
        <v>0</v>
      </c>
    </row>
    <row r="128" spans="1:19">
      <c r="A128" s="1115">
        <f t="shared" si="44"/>
        <v>9.5799999999999876</v>
      </c>
      <c r="B128" s="884" t="s">
        <v>1113</v>
      </c>
      <c r="C128" s="884">
        <f t="shared" si="42"/>
        <v>6030192.9400000004</v>
      </c>
      <c r="D128" s="884">
        <f t="shared" si="40"/>
        <v>2082558.91</v>
      </c>
      <c r="E128" s="1090"/>
      <c r="F128" s="1090"/>
      <c r="G128" s="1090">
        <f t="shared" si="41"/>
        <v>4056376</v>
      </c>
      <c r="H128" s="1090"/>
      <c r="I128" s="1090">
        <f t="shared" si="43"/>
        <v>4056375.9250000003</v>
      </c>
      <c r="J128" s="1090">
        <f t="shared" si="43"/>
        <v>0</v>
      </c>
      <c r="K128" s="1090">
        <f t="shared" si="43"/>
        <v>0</v>
      </c>
      <c r="L128" s="1090"/>
      <c r="M128" s="884">
        <v>6030192.9400000004</v>
      </c>
      <c r="N128" s="884">
        <v>0</v>
      </c>
      <c r="O128" s="884">
        <v>0</v>
      </c>
      <c r="P128" s="1090"/>
      <c r="Q128" s="884">
        <v>2082558.91</v>
      </c>
      <c r="R128" s="884">
        <v>0</v>
      </c>
      <c r="S128" s="884">
        <v>0</v>
      </c>
    </row>
    <row r="129" spans="1:19">
      <c r="A129" s="1115">
        <f t="shared" si="44"/>
        <v>9.5899999999999874</v>
      </c>
      <c r="B129" s="884" t="s">
        <v>1114</v>
      </c>
      <c r="C129" s="884">
        <f t="shared" si="42"/>
        <v>633315.03</v>
      </c>
      <c r="D129" s="884">
        <f t="shared" si="40"/>
        <v>633315.03</v>
      </c>
      <c r="E129" s="1085"/>
      <c r="F129" s="1085"/>
      <c r="G129" s="1085">
        <f t="shared" si="41"/>
        <v>633315</v>
      </c>
      <c r="H129" s="1085"/>
      <c r="I129" s="1085">
        <f t="shared" si="43"/>
        <v>633315.03</v>
      </c>
      <c r="J129" s="1085">
        <f t="shared" si="43"/>
        <v>0</v>
      </c>
      <c r="K129" s="1085">
        <f t="shared" si="43"/>
        <v>0</v>
      </c>
      <c r="L129" s="1085"/>
      <c r="M129" s="884">
        <v>633315.03</v>
      </c>
      <c r="N129" s="884">
        <v>0</v>
      </c>
      <c r="O129" s="884">
        <v>0</v>
      </c>
      <c r="P129" s="1085"/>
      <c r="Q129" s="884">
        <v>633315.03</v>
      </c>
      <c r="R129" s="884">
        <v>0</v>
      </c>
      <c r="S129" s="884">
        <v>0</v>
      </c>
    </row>
    <row r="130" spans="1:19">
      <c r="A130" s="1115">
        <f t="shared" si="44"/>
        <v>9.5999999999999872</v>
      </c>
      <c r="B130" s="884" t="s">
        <v>1115</v>
      </c>
      <c r="C130" s="884">
        <f t="shared" si="42"/>
        <v>-94583.37</v>
      </c>
      <c r="D130" s="884">
        <f t="shared" si="40"/>
        <v>-427899.15</v>
      </c>
      <c r="E130" s="1085"/>
      <c r="F130" s="1085"/>
      <c r="G130" s="1085">
        <f t="shared" si="41"/>
        <v>-261241</v>
      </c>
      <c r="H130" s="1085"/>
      <c r="I130" s="1085">
        <f t="shared" si="43"/>
        <v>-293563.41000000003</v>
      </c>
      <c r="J130" s="1085">
        <f t="shared" si="43"/>
        <v>59035.619999999995</v>
      </c>
      <c r="K130" s="1085">
        <f t="shared" si="43"/>
        <v>-26713.47</v>
      </c>
      <c r="L130" s="1085"/>
      <c r="M130" s="884">
        <v>-208816.86</v>
      </c>
      <c r="N130" s="884">
        <v>61518.239999999998</v>
      </c>
      <c r="O130" s="884">
        <v>52715.25</v>
      </c>
      <c r="P130" s="1085"/>
      <c r="Q130" s="884">
        <v>-378309.96</v>
      </c>
      <c r="R130" s="884">
        <v>56553</v>
      </c>
      <c r="S130" s="884">
        <v>-106142.19</v>
      </c>
    </row>
    <row r="131" spans="1:19">
      <c r="A131" s="1115">
        <f t="shared" si="44"/>
        <v>9.609999999999987</v>
      </c>
      <c r="B131" s="884" t="s">
        <v>1116</v>
      </c>
      <c r="C131" s="884">
        <f t="shared" si="42"/>
        <v>5269982.47</v>
      </c>
      <c r="D131" s="884">
        <f t="shared" si="40"/>
        <v>5973931.6600000001</v>
      </c>
      <c r="E131" s="1085"/>
      <c r="F131" s="1085"/>
      <c r="G131" s="1085">
        <f t="shared" si="41"/>
        <v>5621957</v>
      </c>
      <c r="H131" s="1085"/>
      <c r="I131" s="1085">
        <f t="shared" si="43"/>
        <v>2547940.0350000001</v>
      </c>
      <c r="J131" s="1085">
        <f t="shared" si="43"/>
        <v>801760.84499999997</v>
      </c>
      <c r="K131" s="1085">
        <f t="shared" si="43"/>
        <v>2272256.1850000001</v>
      </c>
      <c r="L131" s="1085"/>
      <c r="M131" s="884">
        <v>2406889.44</v>
      </c>
      <c r="N131" s="884">
        <v>756500.28</v>
      </c>
      <c r="O131" s="884">
        <v>2106592.75</v>
      </c>
      <c r="P131" s="1085"/>
      <c r="Q131" s="884">
        <v>2688990.63</v>
      </c>
      <c r="R131" s="884">
        <v>847021.41</v>
      </c>
      <c r="S131" s="884">
        <v>2437919.62</v>
      </c>
    </row>
    <row r="132" spans="1:19">
      <c r="A132" s="1115">
        <f t="shared" si="44"/>
        <v>9.6199999999999868</v>
      </c>
      <c r="B132" s="884" t="s">
        <v>1117</v>
      </c>
      <c r="C132" s="884">
        <f t="shared" si="42"/>
        <v>91277.670000000013</v>
      </c>
      <c r="D132" s="884">
        <f t="shared" si="40"/>
        <v>84211.01</v>
      </c>
      <c r="E132" s="1085"/>
      <c r="F132" s="1085"/>
      <c r="G132" s="1085">
        <f t="shared" si="41"/>
        <v>87744</v>
      </c>
      <c r="H132" s="1085"/>
      <c r="I132" s="1085">
        <f t="shared" si="43"/>
        <v>42666.5</v>
      </c>
      <c r="J132" s="1085">
        <f t="shared" si="43"/>
        <v>18914.345000000001</v>
      </c>
      <c r="K132" s="1085">
        <f t="shared" si="43"/>
        <v>26163.494999999999</v>
      </c>
      <c r="L132" s="1085"/>
      <c r="M132" s="884">
        <v>44384.61</v>
      </c>
      <c r="N132" s="884">
        <v>19675.990000000002</v>
      </c>
      <c r="O132" s="884">
        <v>27217.07</v>
      </c>
      <c r="P132" s="1085"/>
      <c r="Q132" s="884">
        <v>40948.39</v>
      </c>
      <c r="R132" s="884">
        <v>18152.7</v>
      </c>
      <c r="S132" s="884">
        <v>25109.919999999998</v>
      </c>
    </row>
    <row r="133" spans="1:19">
      <c r="A133" s="1115">
        <f t="shared" si="44"/>
        <v>9.6299999999999866</v>
      </c>
      <c r="B133" s="884" t="s">
        <v>1118</v>
      </c>
      <c r="C133" s="884">
        <f t="shared" si="42"/>
        <v>0</v>
      </c>
      <c r="D133" s="884">
        <f t="shared" si="40"/>
        <v>0</v>
      </c>
      <c r="E133" s="1085"/>
      <c r="F133" s="1085"/>
      <c r="G133" s="1085">
        <f t="shared" si="41"/>
        <v>0</v>
      </c>
      <c r="H133" s="1085"/>
      <c r="I133" s="1085">
        <f t="shared" si="43"/>
        <v>0</v>
      </c>
      <c r="J133" s="1085">
        <f t="shared" si="43"/>
        <v>0</v>
      </c>
      <c r="K133" s="1085">
        <f t="shared" si="43"/>
        <v>0</v>
      </c>
      <c r="L133" s="1085"/>
      <c r="M133" s="884">
        <v>0</v>
      </c>
      <c r="N133" s="884">
        <v>0</v>
      </c>
      <c r="O133" s="884">
        <v>0</v>
      </c>
      <c r="P133" s="1085"/>
      <c r="Q133" s="884">
        <v>0</v>
      </c>
      <c r="R133" s="884">
        <v>0</v>
      </c>
      <c r="S133" s="884">
        <v>0</v>
      </c>
    </row>
    <row r="134" spans="1:19">
      <c r="A134" s="1115">
        <f t="shared" si="44"/>
        <v>9.6399999999999864</v>
      </c>
      <c r="B134" s="884" t="s">
        <v>1119</v>
      </c>
      <c r="C134" s="884">
        <f t="shared" si="42"/>
        <v>227450.86</v>
      </c>
      <c r="D134" s="884">
        <f t="shared" si="40"/>
        <v>181960.63</v>
      </c>
      <c r="E134" s="1085"/>
      <c r="F134" s="1085"/>
      <c r="G134" s="1085">
        <f t="shared" si="41"/>
        <v>204706</v>
      </c>
      <c r="H134" s="1085"/>
      <c r="I134" s="1085">
        <f t="shared" si="43"/>
        <v>67290.03</v>
      </c>
      <c r="J134" s="1085">
        <f t="shared" si="43"/>
        <v>14961.625</v>
      </c>
      <c r="K134" s="1085">
        <f t="shared" si="43"/>
        <v>122454.09</v>
      </c>
      <c r="L134" s="1085"/>
      <c r="M134" s="884">
        <v>74766.720000000001</v>
      </c>
      <c r="N134" s="884">
        <v>16624.03</v>
      </c>
      <c r="O134" s="884">
        <v>136060.10999999999</v>
      </c>
      <c r="P134" s="1085"/>
      <c r="Q134" s="884">
        <v>59813.34</v>
      </c>
      <c r="R134" s="884">
        <v>13299.22</v>
      </c>
      <c r="S134" s="884">
        <v>108848.07</v>
      </c>
    </row>
    <row r="135" spans="1:19">
      <c r="A135" s="1115">
        <f t="shared" si="44"/>
        <v>9.6499999999999861</v>
      </c>
      <c r="B135" s="884" t="s">
        <v>1120</v>
      </c>
      <c r="C135" s="884">
        <f t="shared" si="42"/>
        <v>0.06</v>
      </c>
      <c r="D135" s="884">
        <f t="shared" si="40"/>
        <v>0.06</v>
      </c>
      <c r="E135" s="1085"/>
      <c r="F135" s="1085"/>
      <c r="G135" s="1085">
        <f>ROUND(SUM(C135:F135)/2,0)</f>
        <v>0</v>
      </c>
      <c r="H135" s="1085"/>
      <c r="I135" s="1085">
        <f t="shared" si="43"/>
        <v>0</v>
      </c>
      <c r="J135" s="1085">
        <f t="shared" si="43"/>
        <v>0.08</v>
      </c>
      <c r="K135" s="1085">
        <f t="shared" si="43"/>
        <v>-0.02</v>
      </c>
      <c r="L135" s="1085"/>
      <c r="M135" s="884">
        <v>0</v>
      </c>
      <c r="N135" s="884">
        <v>0.08</v>
      </c>
      <c r="O135" s="884">
        <v>-0.02</v>
      </c>
      <c r="P135" s="1085"/>
      <c r="Q135" s="884">
        <v>0</v>
      </c>
      <c r="R135" s="884">
        <v>0.08</v>
      </c>
      <c r="S135" s="884">
        <v>-0.02</v>
      </c>
    </row>
    <row r="136" spans="1:19">
      <c r="A136" s="1115">
        <f t="shared" si="44"/>
        <v>9.6599999999999859</v>
      </c>
      <c r="B136" s="884" t="s">
        <v>1121</v>
      </c>
      <c r="C136" s="884">
        <f t="shared" si="42"/>
        <v>665533.43999999994</v>
      </c>
      <c r="D136" s="884">
        <f t="shared" si="40"/>
        <v>721866.78</v>
      </c>
      <c r="E136" s="1085"/>
      <c r="F136" s="1085"/>
      <c r="G136" s="1085">
        <f>ROUND(SUM(C136:F136)/2,0)</f>
        <v>693700</v>
      </c>
      <c r="H136" s="1085"/>
      <c r="I136" s="1085">
        <f t="shared" si="43"/>
        <v>152748.49</v>
      </c>
      <c r="J136" s="1085">
        <f t="shared" si="43"/>
        <v>0.9</v>
      </c>
      <c r="K136" s="1085">
        <f t="shared" si="43"/>
        <v>540950.72</v>
      </c>
      <c r="L136" s="1085"/>
      <c r="M136" s="884">
        <v>161237.10999999999</v>
      </c>
      <c r="N136" s="884">
        <v>0.9</v>
      </c>
      <c r="O136" s="884">
        <v>504295.43</v>
      </c>
      <c r="P136" s="1085"/>
      <c r="Q136" s="884">
        <v>144259.87</v>
      </c>
      <c r="R136" s="884">
        <v>0.9</v>
      </c>
      <c r="S136" s="884">
        <v>577606.01</v>
      </c>
    </row>
    <row r="137" spans="1:19">
      <c r="A137" s="1115">
        <f t="shared" si="44"/>
        <v>9.6699999999999857</v>
      </c>
      <c r="B137" s="884" t="s">
        <v>1292</v>
      </c>
      <c r="C137" s="884">
        <f t="shared" ref="C137" si="80">SUM(M137:O137)</f>
        <v>2467228</v>
      </c>
      <c r="D137" s="884">
        <f t="shared" ref="D137" si="81">SUM(Q137:S137)</f>
        <v>2467228</v>
      </c>
      <c r="E137" s="1085"/>
      <c r="F137" s="1085"/>
      <c r="G137" s="1085">
        <f>ROUND(SUM(C137:F137)/2,0)</f>
        <v>2467228</v>
      </c>
      <c r="H137" s="1085"/>
      <c r="I137" s="1085">
        <f t="shared" ref="I137" si="82">(M137+Q137)/2</f>
        <v>714840</v>
      </c>
      <c r="J137" s="1085">
        <f t="shared" ref="J137" si="83">(N137+R137)/2</f>
        <v>2528565</v>
      </c>
      <c r="K137" s="1085">
        <f t="shared" ref="K137" si="84">(O137+S137)/2</f>
        <v>-776177</v>
      </c>
      <c r="L137" s="1085"/>
      <c r="M137" s="884">
        <v>714840</v>
      </c>
      <c r="N137" s="884">
        <v>2528565</v>
      </c>
      <c r="O137" s="884">
        <v>-776177</v>
      </c>
      <c r="P137" s="1085"/>
      <c r="Q137" s="884">
        <v>714840</v>
      </c>
      <c r="R137" s="884">
        <v>2528565</v>
      </c>
      <c r="S137" s="884">
        <v>-776177</v>
      </c>
    </row>
    <row r="138" spans="1:19">
      <c r="A138" s="1115">
        <f t="shared" si="44"/>
        <v>9.6799999999999855</v>
      </c>
      <c r="B138" s="884" t="s">
        <v>1064</v>
      </c>
      <c r="C138" s="884">
        <f t="shared" si="42"/>
        <v>31622374.929999996</v>
      </c>
      <c r="D138" s="884">
        <f t="shared" si="40"/>
        <v>30679906.140000001</v>
      </c>
      <c r="E138" s="1085"/>
      <c r="F138" s="1085"/>
      <c r="G138" s="1085">
        <f>ROUND(SUM(C138:F138)/2,0)</f>
        <v>31151141</v>
      </c>
      <c r="H138" s="1085"/>
      <c r="I138" s="1085">
        <f t="shared" si="43"/>
        <v>32547772.729999997</v>
      </c>
      <c r="J138" s="1085">
        <f t="shared" si="43"/>
        <v>-3132240.415</v>
      </c>
      <c r="K138" s="1085">
        <f t="shared" si="43"/>
        <v>1735608.22</v>
      </c>
      <c r="L138" s="1085"/>
      <c r="M138" s="884">
        <v>33661153.729999997</v>
      </c>
      <c r="N138" s="884">
        <v>-3440107.02</v>
      </c>
      <c r="O138" s="884">
        <v>1401328.22</v>
      </c>
      <c r="P138" s="1085"/>
      <c r="Q138" s="884">
        <v>31434391.73</v>
      </c>
      <c r="R138" s="884">
        <v>-2824373.81</v>
      </c>
      <c r="S138" s="884">
        <v>2069888.22</v>
      </c>
    </row>
    <row r="139" spans="1:19">
      <c r="A139" s="1115">
        <f t="shared" si="44"/>
        <v>9.6899999999999853</v>
      </c>
      <c r="B139" s="884" t="s">
        <v>1122</v>
      </c>
      <c r="C139" s="884">
        <f>-E139</f>
        <v>95720.4</v>
      </c>
      <c r="D139" s="884">
        <f>-F139</f>
        <v>95720.4</v>
      </c>
      <c r="E139" s="1085">
        <v>-95720.4</v>
      </c>
      <c r="F139" s="1085">
        <v>-95720.4</v>
      </c>
      <c r="G139" s="1085">
        <f t="shared" ref="G139:G144" si="85">ROUND(SUM(C139:F139)/2,0)</f>
        <v>0</v>
      </c>
      <c r="H139" s="1085"/>
      <c r="I139" s="1085"/>
      <c r="J139" s="1085"/>
      <c r="K139" s="1085"/>
      <c r="L139" s="1085"/>
      <c r="M139" s="1085"/>
      <c r="N139" s="1085"/>
      <c r="O139" s="1085"/>
      <c r="P139" s="1085"/>
      <c r="Q139" s="1085"/>
      <c r="R139" s="1085"/>
      <c r="S139" s="1085"/>
    </row>
    <row r="140" spans="1:19">
      <c r="A140" s="1115">
        <f t="shared" si="44"/>
        <v>9.6999999999999851</v>
      </c>
      <c r="B140" s="884" t="s">
        <v>1123</v>
      </c>
      <c r="C140" s="884">
        <f t="shared" ref="C140:C144" si="86">-E140</f>
        <v>31757719.219999999</v>
      </c>
      <c r="D140" s="884">
        <f t="shared" ref="D140:D144" si="87">-F140</f>
        <v>30764835.789999999</v>
      </c>
      <c r="E140" s="1085">
        <v>-31757719.219999999</v>
      </c>
      <c r="F140" s="1085">
        <v>-30764835.789999999</v>
      </c>
      <c r="G140" s="1085">
        <f t="shared" si="85"/>
        <v>0</v>
      </c>
      <c r="H140" s="1085"/>
      <c r="I140" s="1085"/>
      <c r="J140" s="1085"/>
      <c r="K140" s="1085"/>
      <c r="L140" s="1085"/>
      <c r="M140" s="1085"/>
      <c r="N140" s="1085"/>
      <c r="O140" s="1085"/>
      <c r="P140" s="1085"/>
      <c r="Q140" s="1085"/>
      <c r="R140" s="1085"/>
      <c r="S140" s="1085"/>
    </row>
    <row r="141" spans="1:19">
      <c r="A141" s="1115">
        <f t="shared" si="44"/>
        <v>9.7099999999999849</v>
      </c>
      <c r="B141" s="884" t="s">
        <v>1124</v>
      </c>
      <c r="C141" s="884">
        <f t="shared" si="86"/>
        <v>-34002544.170000002</v>
      </c>
      <c r="D141" s="884">
        <f t="shared" si="87"/>
        <v>-30679906.140000001</v>
      </c>
      <c r="E141" s="1085">
        <v>34002544.170000002</v>
      </c>
      <c r="F141" s="1085">
        <v>30679906.140000001</v>
      </c>
      <c r="G141" s="1085">
        <f t="shared" si="85"/>
        <v>0</v>
      </c>
      <c r="H141" s="1085"/>
      <c r="I141" s="1085"/>
      <c r="J141" s="1085"/>
      <c r="K141" s="1085"/>
      <c r="L141" s="1085"/>
      <c r="M141" s="1085"/>
      <c r="N141" s="1085"/>
      <c r="O141" s="1085"/>
      <c r="P141" s="1085"/>
      <c r="Q141" s="1085"/>
      <c r="R141" s="1085"/>
      <c r="S141" s="1085"/>
    </row>
    <row r="142" spans="1:19">
      <c r="A142" s="1115">
        <f t="shared" si="44"/>
        <v>9.7199999999999847</v>
      </c>
      <c r="B142" s="884" t="s">
        <v>1125</v>
      </c>
      <c r="C142" s="884">
        <f t="shared" si="86"/>
        <v>0</v>
      </c>
      <c r="D142" s="884">
        <f t="shared" si="87"/>
        <v>0</v>
      </c>
      <c r="E142" s="1085">
        <v>0</v>
      </c>
      <c r="F142" s="1085">
        <v>0</v>
      </c>
      <c r="G142" s="1085">
        <f t="shared" si="85"/>
        <v>0</v>
      </c>
      <c r="H142" s="1085"/>
      <c r="I142" s="1085"/>
      <c r="J142" s="1085"/>
      <c r="K142" s="1085"/>
      <c r="L142" s="1085"/>
      <c r="M142" s="1085"/>
      <c r="N142" s="1085"/>
      <c r="O142" s="1085"/>
      <c r="P142" s="1085"/>
      <c r="Q142" s="1085"/>
      <c r="R142" s="1085"/>
      <c r="S142" s="1085"/>
    </row>
    <row r="143" spans="1:19">
      <c r="A143" s="1115">
        <f t="shared" si="44"/>
        <v>9.7299999999999844</v>
      </c>
      <c r="B143" s="884" t="s">
        <v>1126</v>
      </c>
      <c r="C143" s="884">
        <f t="shared" si="86"/>
        <v>0</v>
      </c>
      <c r="D143" s="884">
        <f t="shared" si="87"/>
        <v>0</v>
      </c>
      <c r="E143" s="1085">
        <v>0</v>
      </c>
      <c r="F143" s="1085">
        <v>0</v>
      </c>
      <c r="G143" s="1085">
        <f t="shared" si="85"/>
        <v>0</v>
      </c>
      <c r="H143" s="1085"/>
      <c r="I143" s="1085"/>
      <c r="J143" s="1085"/>
      <c r="K143" s="1085"/>
      <c r="L143" s="1085"/>
      <c r="M143" s="1085"/>
      <c r="N143" s="1085"/>
      <c r="O143" s="1085"/>
      <c r="P143" s="1085"/>
      <c r="Q143" s="1085"/>
      <c r="R143" s="1085"/>
      <c r="S143" s="1085"/>
    </row>
    <row r="144" spans="1:19">
      <c r="A144" s="1115"/>
      <c r="B144" s="884"/>
      <c r="C144" s="884">
        <f t="shared" si="86"/>
        <v>0</v>
      </c>
      <c r="D144" s="884">
        <f t="shared" si="87"/>
        <v>0</v>
      </c>
      <c r="E144" s="1085">
        <v>0</v>
      </c>
      <c r="F144" s="1085">
        <v>0</v>
      </c>
      <c r="G144" s="1085">
        <f t="shared" si="85"/>
        <v>0</v>
      </c>
      <c r="H144" s="1085"/>
      <c r="I144" s="1085"/>
      <c r="J144" s="1085"/>
      <c r="K144" s="1085"/>
      <c r="L144" s="1085"/>
      <c r="M144" s="1085"/>
      <c r="N144" s="1085"/>
      <c r="O144" s="1085"/>
      <c r="P144" s="1085"/>
      <c r="Q144" s="1085"/>
      <c r="R144" s="1085"/>
      <c r="S144" s="1085"/>
    </row>
    <row r="145" spans="1:19">
      <c r="A145" s="1095"/>
      <c r="B145" s="1075"/>
      <c r="C145" s="1085"/>
      <c r="D145" s="1085"/>
      <c r="E145" s="1085"/>
      <c r="F145" s="1085"/>
      <c r="G145" s="1085"/>
      <c r="H145" s="1085"/>
      <c r="I145" s="1085"/>
      <c r="J145" s="1085"/>
      <c r="K145" s="1085"/>
      <c r="L145" s="1085"/>
      <c r="M145" s="1085"/>
      <c r="N145" s="1085"/>
      <c r="O145" s="1085"/>
      <c r="P145" s="1085"/>
      <c r="Q145" s="1085"/>
      <c r="R145" s="1085"/>
      <c r="S145" s="1085"/>
    </row>
    <row r="146" spans="1:19">
      <c r="A146" s="1095"/>
      <c r="B146" s="1075"/>
      <c r="C146" s="1085"/>
      <c r="D146" s="1085"/>
      <c r="E146" s="1085"/>
      <c r="F146" s="1085"/>
      <c r="G146" s="1085"/>
      <c r="H146" s="1085"/>
      <c r="I146" s="1085"/>
      <c r="J146" s="1085"/>
      <c r="K146" s="1085"/>
      <c r="L146" s="1085"/>
      <c r="M146" s="1085"/>
      <c r="N146" s="1085"/>
      <c r="O146" s="1085"/>
      <c r="P146" s="1085"/>
      <c r="Q146" s="1085"/>
      <c r="R146" s="1085"/>
      <c r="S146" s="1085"/>
    </row>
    <row r="147" spans="1:19" ht="13.5" thickBot="1">
      <c r="A147" s="1095">
        <v>10</v>
      </c>
      <c r="B147" s="1076"/>
      <c r="C147" s="1088">
        <f>SUM(C71:C146)</f>
        <v>115360703.43999998</v>
      </c>
      <c r="D147" s="1088">
        <f>SUM(D71:D146)</f>
        <v>126472356.42</v>
      </c>
      <c r="E147" s="1088">
        <f>SUM(E71:E146)</f>
        <v>2149104.5500000045</v>
      </c>
      <c r="F147" s="1088">
        <f>SUM(F71:F146)</f>
        <v>-180650.04999999702</v>
      </c>
      <c r="G147" s="1088">
        <f>SUM(G71:G146)</f>
        <v>121900755</v>
      </c>
      <c r="H147" s="1092"/>
      <c r="I147" s="1088">
        <f>SUM(I71:I146)</f>
        <v>116431022.86999997</v>
      </c>
      <c r="J147" s="1088">
        <f>SUM(J71:J146)</f>
        <v>544718.64999999991</v>
      </c>
      <c r="K147" s="1088">
        <f>SUM(K71:K146)</f>
        <v>4925015.66</v>
      </c>
      <c r="L147" s="1092"/>
      <c r="M147" s="1088">
        <f>SUM(M71:M146)</f>
        <v>113907326.17999998</v>
      </c>
      <c r="N147" s="1088">
        <f>SUM(N71:N146)</f>
        <v>156427.06999999983</v>
      </c>
      <c r="O147" s="1088">
        <f>SUM(O71:O146)</f>
        <v>3446054.74</v>
      </c>
      <c r="P147" s="1092"/>
      <c r="Q147" s="1088">
        <f>SUM(Q71:Q146)</f>
        <v>118954719.56000002</v>
      </c>
      <c r="R147" s="1088">
        <f>SUM(R71:R146)</f>
        <v>933010.23</v>
      </c>
      <c r="S147" s="1088">
        <f>SUM(S71:S146)</f>
        <v>6403976.5800000001</v>
      </c>
    </row>
    <row r="148" spans="1:19" ht="13.5" thickTop="1">
      <c r="A148" s="1095"/>
      <c r="B148" s="1075"/>
      <c r="C148" s="1089"/>
      <c r="D148" s="1089"/>
      <c r="E148" s="1089"/>
      <c r="F148" s="1089"/>
      <c r="G148" s="1089"/>
      <c r="H148" s="1085"/>
      <c r="I148" s="1089"/>
      <c r="J148" s="1089"/>
      <c r="K148" s="1089"/>
      <c r="L148" s="1085"/>
      <c r="M148" s="1089"/>
      <c r="N148" s="1089"/>
      <c r="O148" s="1089"/>
      <c r="P148" s="1085"/>
      <c r="Q148" s="1089"/>
      <c r="R148" s="1089"/>
      <c r="S148" s="1089"/>
    </row>
    <row r="149" spans="1:19">
      <c r="A149" s="1095"/>
      <c r="B149" s="1075"/>
      <c r="C149" s="1085"/>
      <c r="D149" s="1085"/>
      <c r="E149" s="1085"/>
      <c r="F149" s="1085"/>
      <c r="G149" s="1085"/>
      <c r="H149" s="1085"/>
      <c r="I149" s="1085"/>
      <c r="J149" s="1085"/>
      <c r="K149" s="1085"/>
      <c r="L149" s="1085"/>
      <c r="M149" s="1085"/>
      <c r="N149" s="1085"/>
      <c r="O149" s="1085"/>
      <c r="P149" s="1085"/>
      <c r="Q149" s="1085"/>
      <c r="R149" s="1085"/>
      <c r="S149" s="1085"/>
    </row>
    <row r="150" spans="1:19">
      <c r="A150" s="1095">
        <f>+A147+1</f>
        <v>11</v>
      </c>
      <c r="B150" s="257" t="s">
        <v>734</v>
      </c>
      <c r="C150" s="884">
        <f>SUM(M150:O150)</f>
        <v>3492682</v>
      </c>
      <c r="D150" s="884">
        <f>SUM(Q150:S150)</f>
        <v>3040058</v>
      </c>
      <c r="E150" s="1085"/>
      <c r="F150" s="1085"/>
      <c r="G150" s="1085">
        <f>ROUND(SUM(C150:F150)/2,0)</f>
        <v>3266370</v>
      </c>
      <c r="H150" s="1085"/>
      <c r="I150" s="1085">
        <f>(M150+Q150)/2</f>
        <v>3266370</v>
      </c>
      <c r="J150" s="1085">
        <f>(N150+R150)/2</f>
        <v>0</v>
      </c>
      <c r="K150" s="1085">
        <f>(O150+S150)/2</f>
        <v>0</v>
      </c>
      <c r="L150" s="1085"/>
      <c r="M150" s="884">
        <v>3492682</v>
      </c>
      <c r="N150" s="884">
        <v>0</v>
      </c>
      <c r="O150" s="884">
        <v>0</v>
      </c>
      <c r="P150" s="1085"/>
      <c r="Q150" s="884">
        <v>3040058</v>
      </c>
      <c r="R150" s="884">
        <v>0</v>
      </c>
      <c r="S150" s="884">
        <v>0</v>
      </c>
    </row>
    <row r="151" spans="1:19">
      <c r="A151" s="1115">
        <f>A150+0.01</f>
        <v>11.01</v>
      </c>
      <c r="B151" s="884" t="s">
        <v>1127</v>
      </c>
      <c r="C151" s="884">
        <f>-E151</f>
        <v>111261340.38</v>
      </c>
      <c r="D151" s="884">
        <f>-F151</f>
        <v>117320923.38</v>
      </c>
      <c r="E151" s="1085">
        <v>-111261340.38</v>
      </c>
      <c r="F151" s="1085">
        <v>-117320923.38</v>
      </c>
      <c r="G151" s="1085">
        <f>ROUND(SUM(C151:F151)/2,0)</f>
        <v>0</v>
      </c>
      <c r="H151" s="1085"/>
      <c r="I151" s="1085"/>
      <c r="J151" s="1085"/>
      <c r="K151" s="1085"/>
      <c r="L151" s="1085"/>
      <c r="M151" s="1085"/>
      <c r="N151" s="1085"/>
      <c r="O151" s="1085"/>
      <c r="P151" s="1085"/>
      <c r="Q151" s="1085"/>
      <c r="R151" s="1085"/>
      <c r="S151" s="1085"/>
    </row>
    <row r="152" spans="1:19">
      <c r="A152" s="1095"/>
      <c r="B152" s="1075"/>
      <c r="C152" s="1085"/>
      <c r="D152" s="1085"/>
      <c r="E152" s="1085"/>
      <c r="F152" s="1085"/>
      <c r="G152" s="1085"/>
      <c r="H152" s="1085"/>
      <c r="I152" s="1085"/>
      <c r="J152" s="1085"/>
      <c r="K152" s="1085"/>
      <c r="L152" s="1085"/>
      <c r="M152" s="1085"/>
      <c r="N152" s="1085"/>
      <c r="O152" s="1085"/>
      <c r="P152" s="1085"/>
      <c r="Q152" s="1085"/>
      <c r="R152" s="1085"/>
      <c r="S152" s="1085"/>
    </row>
    <row r="153" spans="1:19" ht="13.5" thickBot="1">
      <c r="A153" s="1095">
        <f>+A150+1</f>
        <v>12</v>
      </c>
      <c r="B153" s="996" t="s">
        <v>735</v>
      </c>
      <c r="C153" s="1088">
        <f>SUM(C147:C152)</f>
        <v>230114725.81999999</v>
      </c>
      <c r="D153" s="1088">
        <f>SUM(D147:D152)</f>
        <v>246833337.80000001</v>
      </c>
      <c r="E153" s="1088">
        <f>SUM(E147:E152)</f>
        <v>-109112235.82999998</v>
      </c>
      <c r="F153" s="1088">
        <f>SUM(F147:F152)</f>
        <v>-117501573.42999999</v>
      </c>
      <c r="G153" s="1088">
        <f>SUM(G147:G152)</f>
        <v>125167125</v>
      </c>
      <c r="H153" s="1085"/>
      <c r="I153" s="1088">
        <f>SUM(I147:I152)</f>
        <v>119697392.86999997</v>
      </c>
      <c r="J153" s="1088">
        <f>SUM(J147:J152)</f>
        <v>544718.64999999991</v>
      </c>
      <c r="K153" s="1088">
        <f>SUM(K147:K152)</f>
        <v>4925015.66</v>
      </c>
      <c r="L153" s="1085"/>
      <c r="M153" s="1450">
        <f>SUM(M147:M152)</f>
        <v>117400008.17999998</v>
      </c>
      <c r="N153" s="1450">
        <f>SUM(N147:N152)</f>
        <v>156427.06999999983</v>
      </c>
      <c r="O153" s="1450">
        <f>SUM(O147:O152)</f>
        <v>3446054.74</v>
      </c>
      <c r="P153" s="1085"/>
      <c r="Q153" s="1088">
        <f>SUM(Q147:Q152)</f>
        <v>121994777.56000002</v>
      </c>
      <c r="R153" s="1088">
        <f>SUM(R147:R152)</f>
        <v>933010.23</v>
      </c>
      <c r="S153" s="1088">
        <f>SUM(S147:S152)</f>
        <v>6403976.5800000001</v>
      </c>
    </row>
    <row r="154" spans="1:19" ht="13.5" thickTop="1">
      <c r="A154" s="1095">
        <f>A153+1</f>
        <v>13</v>
      </c>
      <c r="B154" s="1162" t="s">
        <v>746</v>
      </c>
      <c r="C154" s="1089">
        <f>C126+C92+C128</f>
        <v>24375628.030000001</v>
      </c>
      <c r="D154" s="1089">
        <f t="shared" ref="D154:G154" si="88">D126+D92+D128</f>
        <v>24581052.91</v>
      </c>
      <c r="E154" s="1089">
        <f t="shared" si="88"/>
        <v>0</v>
      </c>
      <c r="F154" s="1089">
        <f t="shared" si="88"/>
        <v>0</v>
      </c>
      <c r="G154" s="1089">
        <f t="shared" si="88"/>
        <v>24478341</v>
      </c>
      <c r="H154" s="1085"/>
      <c r="I154" s="1089">
        <f t="shared" ref="I154:K154" si="89">I126+I92+I128</f>
        <v>24478340.470000003</v>
      </c>
      <c r="J154" s="1089">
        <f t="shared" si="89"/>
        <v>0</v>
      </c>
      <c r="K154" s="1089">
        <f t="shared" si="89"/>
        <v>0</v>
      </c>
      <c r="L154" s="1085"/>
      <c r="M154" s="1089">
        <f t="shared" ref="M154:O154" si="90">M126+M92+M128</f>
        <v>24375628.030000001</v>
      </c>
      <c r="N154" s="1089">
        <f t="shared" si="90"/>
        <v>0</v>
      </c>
      <c r="O154" s="1089">
        <f t="shared" si="90"/>
        <v>0</v>
      </c>
      <c r="P154" s="1085"/>
      <c r="Q154" s="1089">
        <f t="shared" ref="Q154:S154" si="91">Q126+Q92+Q128</f>
        <v>24581052.91</v>
      </c>
      <c r="R154" s="1089">
        <f t="shared" si="91"/>
        <v>0</v>
      </c>
      <c r="S154" s="1089">
        <f t="shared" si="91"/>
        <v>0</v>
      </c>
    </row>
    <row r="155" spans="1:19">
      <c r="A155" s="1095"/>
      <c r="B155" s="1075"/>
      <c r="C155" s="1091"/>
      <c r="D155" s="1091"/>
      <c r="E155" s="1085"/>
      <c r="F155" s="1085"/>
      <c r="G155" s="1085"/>
      <c r="H155" s="1085"/>
      <c r="I155" s="1085"/>
      <c r="J155" s="1085"/>
      <c r="K155" s="1085"/>
      <c r="L155" s="1085"/>
      <c r="M155" s="1085"/>
      <c r="N155" s="1085"/>
      <c r="O155" s="1085"/>
      <c r="P155" s="1085"/>
      <c r="Q155" s="1085"/>
      <c r="R155" s="1085"/>
      <c r="S155" s="1085"/>
    </row>
    <row r="156" spans="1:19">
      <c r="A156" s="1095">
        <f>+A154+1</f>
        <v>14</v>
      </c>
      <c r="B156" s="1076" t="s">
        <v>736</v>
      </c>
      <c r="C156" s="1085"/>
      <c r="D156" s="1085"/>
      <c r="E156" s="1085"/>
      <c r="F156" s="1085"/>
      <c r="G156" s="1085"/>
      <c r="H156" s="1085"/>
      <c r="I156" s="1085"/>
      <c r="J156" s="1085"/>
      <c r="K156" s="1085"/>
      <c r="L156" s="1085"/>
      <c r="M156" s="1085"/>
      <c r="N156" s="1085"/>
      <c r="O156" s="1085"/>
      <c r="P156" s="1085"/>
      <c r="Q156" s="1085"/>
      <c r="R156" s="1085"/>
      <c r="S156" s="1085"/>
    </row>
    <row r="157" spans="1:19">
      <c r="A157" s="1095"/>
      <c r="B157" s="1075"/>
      <c r="C157" s="1085"/>
      <c r="D157" s="1085"/>
      <c r="E157" s="1085"/>
      <c r="F157" s="1085"/>
      <c r="G157" s="1085"/>
      <c r="H157" s="1085"/>
      <c r="I157" s="1085"/>
      <c r="J157" s="1085"/>
      <c r="K157" s="1085"/>
      <c r="L157" s="1085"/>
      <c r="M157" s="1085"/>
      <c r="N157" s="1085"/>
      <c r="O157" s="1085"/>
      <c r="P157" s="1085"/>
      <c r="Q157" s="1085"/>
      <c r="R157" s="1085"/>
      <c r="S157" s="1085"/>
    </row>
    <row r="158" spans="1:19">
      <c r="A158" s="1095">
        <f>+A156+1</f>
        <v>15</v>
      </c>
      <c r="B158" s="1076" t="s">
        <v>737</v>
      </c>
      <c r="C158" s="1085"/>
      <c r="D158" s="1085"/>
      <c r="E158" s="1085"/>
      <c r="F158" s="1085"/>
      <c r="G158" s="1085"/>
      <c r="H158" s="1085"/>
      <c r="I158" s="1085"/>
      <c r="J158" s="1085"/>
      <c r="K158" s="1085"/>
      <c r="L158" s="1085"/>
      <c r="M158" s="1085"/>
      <c r="N158" s="1085"/>
      <c r="O158" s="1085"/>
      <c r="P158" s="1085"/>
      <c r="Q158" s="1085"/>
      <c r="R158" s="1085"/>
      <c r="S158" s="1085"/>
    </row>
    <row r="159" spans="1:19">
      <c r="A159" s="1095"/>
      <c r="B159" s="1075"/>
      <c r="C159" s="1085"/>
      <c r="D159" s="1093"/>
      <c r="E159" s="1093"/>
      <c r="F159" s="1093"/>
      <c r="G159" s="1093"/>
      <c r="H159" s="1093"/>
      <c r="I159" s="1093"/>
      <c r="J159" s="1093"/>
      <c r="K159" s="1093"/>
      <c r="L159" s="1093"/>
      <c r="M159" s="1085"/>
      <c r="N159" s="1085"/>
      <c r="O159" s="1085"/>
      <c r="P159" s="1085"/>
      <c r="Q159" s="1085"/>
      <c r="R159" s="1085"/>
      <c r="S159" s="1085"/>
    </row>
    <row r="160" spans="1:19">
      <c r="A160" s="1095">
        <f>+A158+1</f>
        <v>16</v>
      </c>
      <c r="B160" s="1076" t="s">
        <v>738</v>
      </c>
      <c r="C160" s="1085"/>
      <c r="D160" s="1093"/>
      <c r="E160" s="1093"/>
      <c r="F160" s="1093"/>
      <c r="G160" s="1093"/>
      <c r="H160" s="1093"/>
      <c r="I160" s="1093"/>
      <c r="J160" s="1093"/>
      <c r="K160" s="1093"/>
      <c r="L160" s="1093"/>
      <c r="M160" s="1085"/>
      <c r="N160" s="1085"/>
      <c r="O160" s="1085"/>
      <c r="P160" s="1085"/>
      <c r="Q160" s="1085"/>
      <c r="R160" s="1085"/>
      <c r="S160" s="1085"/>
    </row>
    <row r="161" spans="1:19">
      <c r="A161" s="1095"/>
      <c r="B161" s="1075"/>
      <c r="C161" s="1085"/>
      <c r="D161" s="1085"/>
      <c r="E161" s="1085"/>
      <c r="F161" s="1085"/>
      <c r="G161" s="1085"/>
      <c r="H161" s="1085"/>
      <c r="I161" s="1085"/>
      <c r="J161" s="1085"/>
      <c r="K161" s="1085"/>
      <c r="L161" s="1085"/>
      <c r="M161" s="1085"/>
      <c r="N161" s="1085"/>
      <c r="O161" s="1085"/>
      <c r="P161" s="1085"/>
      <c r="Q161" s="1085"/>
      <c r="R161" s="1085"/>
      <c r="S161" s="1085"/>
    </row>
    <row r="162" spans="1:19">
      <c r="A162" s="1095">
        <f>+A160+1</f>
        <v>17</v>
      </c>
      <c r="B162" s="257" t="s">
        <v>739</v>
      </c>
      <c r="C162" s="1085"/>
      <c r="D162" s="1085"/>
      <c r="E162" s="1085"/>
      <c r="F162" s="1085"/>
      <c r="G162" s="1085"/>
      <c r="H162" s="1085"/>
      <c r="I162" s="1085"/>
      <c r="J162" s="1085"/>
      <c r="K162" s="1085"/>
      <c r="L162" s="1085"/>
      <c r="M162" s="1085"/>
      <c r="N162" s="1085"/>
      <c r="O162" s="1085"/>
      <c r="P162" s="1085"/>
      <c r="Q162" s="1085"/>
      <c r="R162" s="1085"/>
      <c r="S162" s="1085"/>
    </row>
    <row r="163" spans="1:19">
      <c r="A163" s="1095">
        <f>A162+1</f>
        <v>18</v>
      </c>
      <c r="B163" s="257" t="s">
        <v>740</v>
      </c>
      <c r="C163" s="1085"/>
      <c r="D163" s="1085"/>
      <c r="E163" s="1085"/>
      <c r="F163" s="1085"/>
      <c r="G163" s="1085"/>
      <c r="H163" s="1085"/>
      <c r="I163" s="1085"/>
      <c r="J163" s="1085"/>
      <c r="K163" s="1085"/>
      <c r="L163" s="1085"/>
      <c r="M163" s="1085"/>
      <c r="N163" s="1085"/>
      <c r="O163" s="1085"/>
      <c r="P163" s="1085"/>
      <c r="Q163" s="884"/>
      <c r="R163" s="1085"/>
      <c r="S163" s="1085"/>
    </row>
    <row r="164" spans="1:19">
      <c r="A164" s="1115">
        <f>A163+0.01</f>
        <v>18.010000000000002</v>
      </c>
      <c r="B164" s="884"/>
      <c r="C164" s="1085">
        <f>SUM(M164:O164)</f>
        <v>0</v>
      </c>
      <c r="D164" s="1085">
        <f>SUM(Q164:S164)</f>
        <v>0</v>
      </c>
      <c r="E164" s="1085"/>
      <c r="F164" s="1085"/>
      <c r="G164" s="1085">
        <f>ROUND(SUM(C164:F164)/2,0)</f>
        <v>0</v>
      </c>
      <c r="H164" s="1085"/>
      <c r="I164" s="1085">
        <f t="shared" ref="I164:K165" si="92">(M164+Q164)/2</f>
        <v>0</v>
      </c>
      <c r="J164" s="1085">
        <f t="shared" si="92"/>
        <v>0</v>
      </c>
      <c r="K164" s="1085">
        <f t="shared" si="92"/>
        <v>0</v>
      </c>
      <c r="L164" s="1085"/>
      <c r="M164" s="884"/>
      <c r="N164" s="884"/>
      <c r="O164" s="884"/>
      <c r="P164" s="1085"/>
      <c r="Q164" s="884"/>
      <c r="R164" s="884"/>
      <c r="S164" s="884"/>
    </row>
    <row r="165" spans="1:19">
      <c r="A165" s="1115">
        <f>A164+0.01</f>
        <v>18.020000000000003</v>
      </c>
      <c r="B165" s="884"/>
      <c r="C165" s="1085">
        <f>SUM(M165:O165)</f>
        <v>0</v>
      </c>
      <c r="D165" s="1085">
        <f>SUM(Q165:S165)</f>
        <v>0</v>
      </c>
      <c r="E165" s="1085"/>
      <c r="F165" s="1085"/>
      <c r="G165" s="1085">
        <f>ROUND(SUM(C165:F165)/2,0)</f>
        <v>0</v>
      </c>
      <c r="H165" s="1085"/>
      <c r="I165" s="1085">
        <f t="shared" si="92"/>
        <v>0</v>
      </c>
      <c r="J165" s="1085">
        <f t="shared" si="92"/>
        <v>0</v>
      </c>
      <c r="K165" s="1085">
        <f t="shared" si="92"/>
        <v>0</v>
      </c>
      <c r="L165" s="1085"/>
      <c r="M165" s="884"/>
      <c r="N165" s="884"/>
      <c r="O165" s="884"/>
      <c r="P165" s="1085"/>
      <c r="Q165" s="884"/>
      <c r="R165" s="884"/>
      <c r="S165" s="884"/>
    </row>
    <row r="166" spans="1:19">
      <c r="A166" s="1095">
        <f>INT(A165)+1</f>
        <v>19</v>
      </c>
      <c r="B166" s="1076"/>
      <c r="C166" s="1085"/>
      <c r="D166" s="1085"/>
      <c r="E166" s="1085"/>
      <c r="F166" s="1085"/>
      <c r="G166" s="1085"/>
      <c r="H166" s="1085"/>
      <c r="I166" s="1085"/>
      <c r="J166" s="1085"/>
      <c r="K166" s="1085"/>
      <c r="L166" s="1085"/>
      <c r="M166" s="1085"/>
      <c r="N166" s="1085"/>
      <c r="O166" s="1085"/>
      <c r="P166" s="1085"/>
      <c r="Q166" s="1085"/>
      <c r="R166" s="1085"/>
      <c r="S166" s="1085"/>
    </row>
    <row r="167" spans="1:19">
      <c r="A167" s="1095">
        <f>A166+1</f>
        <v>20</v>
      </c>
      <c r="B167" s="257" t="s">
        <v>741</v>
      </c>
      <c r="C167" s="1088">
        <f>SUM(C164:C166)</f>
        <v>0</v>
      </c>
      <c r="D167" s="1088">
        <f>SUM(D164:D166)</f>
        <v>0</v>
      </c>
      <c r="E167" s="1088">
        <f>SUM(E164:E166)</f>
        <v>0</v>
      </c>
      <c r="F167" s="1088">
        <f>SUM(F164:F166)</f>
        <v>0</v>
      </c>
      <c r="G167" s="1088">
        <f>SUM(G164:G166)</f>
        <v>0</v>
      </c>
      <c r="H167" s="1085"/>
      <c r="I167" s="1088">
        <f>SUM(I164:I166)</f>
        <v>0</v>
      </c>
      <c r="J167" s="1088">
        <f>SUM(J164:J166)</f>
        <v>0</v>
      </c>
      <c r="K167" s="1088">
        <f>SUM(K164:K166)</f>
        <v>0</v>
      </c>
      <c r="L167" s="1085"/>
      <c r="M167" s="1088">
        <f>SUM(M164:M166)</f>
        <v>0</v>
      </c>
      <c r="N167" s="1088">
        <f>SUM(N164:N166)</f>
        <v>0</v>
      </c>
      <c r="O167" s="1088">
        <f>SUM(O164:O166)</f>
        <v>0</v>
      </c>
      <c r="P167" s="1085"/>
      <c r="Q167" s="1088">
        <f>SUM(Q164:Q166)</f>
        <v>0</v>
      </c>
      <c r="R167" s="1088">
        <f>SUM(R164:R166)</f>
        <v>0</v>
      </c>
      <c r="S167" s="1088">
        <f>SUM(S164:S166)</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5"/>
  <sheetViews>
    <sheetView view="pageBreakPreview" topLeftCell="A66" zoomScale="85" zoomScaleNormal="60" zoomScaleSheetLayoutView="85" workbookViewId="0">
      <selection activeCell="D263" sqref="D263"/>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96"/>
      <c r="B1" s="1161" t="str">
        <f>TCOS!F9</f>
        <v>KENTUCKY POWER COMPANY</v>
      </c>
      <c r="C1" s="1097"/>
      <c r="D1" s="1097"/>
      <c r="E1" s="1097"/>
      <c r="F1" s="1075"/>
      <c r="G1" s="257"/>
      <c r="H1" s="257"/>
      <c r="I1" s="257"/>
      <c r="J1" s="257"/>
      <c r="K1" s="257"/>
      <c r="L1" s="257"/>
      <c r="M1" s="1075"/>
      <c r="N1" s="1075"/>
      <c r="O1" s="257"/>
      <c r="P1" s="1075"/>
      <c r="Q1" s="1075"/>
      <c r="R1" s="1075"/>
      <c r="S1" s="257"/>
    </row>
    <row r="2" spans="1:19">
      <c r="A2" s="1096"/>
      <c r="B2" s="1074" t="s">
        <v>829</v>
      </c>
      <c r="C2" s="1097"/>
      <c r="D2" s="1097"/>
      <c r="E2" s="1097"/>
      <c r="F2" s="1097"/>
      <c r="G2" s="1098"/>
      <c r="H2" s="1098"/>
      <c r="I2" s="1098"/>
      <c r="J2" s="1098"/>
      <c r="K2" s="1098"/>
      <c r="L2" s="1098"/>
      <c r="M2" s="1075"/>
      <c r="N2" s="1075"/>
      <c r="O2" s="1098"/>
      <c r="P2" s="1075"/>
      <c r="Q2" s="1075"/>
      <c r="R2" s="1075"/>
      <c r="S2" s="1098"/>
    </row>
    <row r="3" spans="1:19">
      <c r="A3" s="1096"/>
      <c r="B3" s="1074" t="str">
        <f>"PERIOD ENDED DECEMBER 31, "&amp;TCOS!L4</f>
        <v>PERIOD ENDED DECEMBER 31, 2020</v>
      </c>
      <c r="C3" s="1097"/>
      <c r="D3" s="1097"/>
      <c r="E3" s="1097"/>
      <c r="F3" s="1097"/>
      <c r="G3" s="1097"/>
      <c r="H3" s="1097"/>
      <c r="I3" s="1097"/>
      <c r="J3" s="1097"/>
      <c r="K3" s="1097"/>
      <c r="L3" s="1097"/>
      <c r="M3" s="1075"/>
      <c r="N3" s="1075"/>
      <c r="O3" s="1075"/>
      <c r="P3" s="1075"/>
      <c r="Q3" s="1075"/>
      <c r="R3" s="1075"/>
      <c r="S3" s="1075"/>
    </row>
    <row r="4" spans="1:19">
      <c r="A4" s="1096"/>
      <c r="B4" s="1084"/>
      <c r="C4" s="1097"/>
      <c r="D4" s="1097"/>
      <c r="E4" s="1097"/>
      <c r="F4" s="1097"/>
      <c r="G4" s="1" t="s">
        <v>742</v>
      </c>
      <c r="H4" s="1097"/>
      <c r="I4" s="1097"/>
      <c r="J4" s="1097"/>
      <c r="K4" s="1097"/>
      <c r="L4" s="1097"/>
      <c r="M4" s="1075"/>
      <c r="N4" s="1075"/>
      <c r="O4" s="1075"/>
      <c r="P4" s="1075"/>
      <c r="Q4" s="1075"/>
      <c r="R4" s="1075"/>
      <c r="S4" s="1075"/>
    </row>
    <row r="5" spans="1:19">
      <c r="A5" s="1096"/>
      <c r="B5" s="1077"/>
      <c r="C5" s="1097"/>
      <c r="D5" s="1097"/>
      <c r="E5" s="1097"/>
      <c r="F5" s="1097"/>
      <c r="G5" s="1097"/>
      <c r="H5" s="1097"/>
      <c r="I5" s="1097"/>
      <c r="J5" s="1097"/>
      <c r="K5" s="1097"/>
      <c r="L5" s="1097"/>
      <c r="M5" s="1075"/>
      <c r="N5" s="1075"/>
      <c r="O5" s="1075"/>
      <c r="P5" s="1075"/>
      <c r="Q5" s="1075"/>
      <c r="R5" s="1075"/>
      <c r="S5" s="1075"/>
    </row>
    <row r="6" spans="1:19">
      <c r="A6" s="1096"/>
      <c r="B6" s="1075"/>
      <c r="C6" s="1097"/>
      <c r="D6" s="1097"/>
      <c r="E6" s="1097"/>
      <c r="F6" s="1097"/>
      <c r="G6" s="1097"/>
      <c r="H6" s="1"/>
      <c r="I6" s="1"/>
      <c r="J6" s="1"/>
      <c r="K6" s="1"/>
      <c r="L6" s="1"/>
      <c r="M6" s="1075"/>
      <c r="N6" s="1075"/>
      <c r="O6" s="1075"/>
      <c r="P6" s="1075"/>
      <c r="Q6" s="1075"/>
      <c r="R6" s="1075"/>
      <c r="S6" s="1075"/>
    </row>
    <row r="7" spans="1:19">
      <c r="A7" s="1096"/>
      <c r="B7" s="1075"/>
      <c r="C7" s="1097"/>
      <c r="D7" s="1097"/>
      <c r="E7" s="1097"/>
      <c r="F7" s="1097"/>
      <c r="G7" s="1097"/>
      <c r="H7" s="1097"/>
      <c r="I7" s="1097"/>
      <c r="J7" s="1097"/>
      <c r="K7" s="1097"/>
      <c r="L7" s="1097"/>
      <c r="M7" s="1075"/>
      <c r="N7" s="1075"/>
      <c r="O7" s="1075"/>
      <c r="P7" s="1075"/>
      <c r="Q7" s="1075"/>
      <c r="R7" s="1075"/>
      <c r="S7" s="1075"/>
    </row>
    <row r="8" spans="1:19">
      <c r="A8" s="1096"/>
      <c r="B8" s="1078" t="s">
        <v>702</v>
      </c>
      <c r="C8" s="1099" t="s">
        <v>703</v>
      </c>
      <c r="D8" s="1099" t="s">
        <v>704</v>
      </c>
      <c r="E8" s="1099" t="s">
        <v>705</v>
      </c>
      <c r="F8" s="1099" t="s">
        <v>706</v>
      </c>
      <c r="G8" s="1099" t="s">
        <v>707</v>
      </c>
      <c r="H8" s="1099"/>
      <c r="I8" s="1099" t="s">
        <v>708</v>
      </c>
      <c r="J8" s="1099" t="s">
        <v>709</v>
      </c>
      <c r="K8" s="1099" t="s">
        <v>710</v>
      </c>
      <c r="L8" s="1099"/>
      <c r="M8" s="1078" t="s">
        <v>711</v>
      </c>
      <c r="N8" s="1078" t="s">
        <v>712</v>
      </c>
      <c r="O8" s="1078" t="s">
        <v>713</v>
      </c>
      <c r="P8" s="1075"/>
      <c r="Q8" s="1078" t="s">
        <v>714</v>
      </c>
      <c r="R8" s="1078" t="s">
        <v>715</v>
      </c>
      <c r="S8" s="1078" t="s">
        <v>716</v>
      </c>
    </row>
    <row r="9" spans="1:19">
      <c r="A9" s="1096"/>
      <c r="B9" s="1075"/>
      <c r="C9" s="1097"/>
      <c r="D9" s="1097"/>
      <c r="E9" s="1097"/>
      <c r="F9" s="1097"/>
      <c r="G9" s="1097"/>
      <c r="H9" s="1097"/>
      <c r="I9" s="1097"/>
      <c r="J9" s="1097"/>
      <c r="K9" s="1097"/>
      <c r="L9" s="1097"/>
      <c r="M9" s="1075"/>
      <c r="N9" s="1075"/>
      <c r="O9" s="1075"/>
      <c r="P9" s="1075"/>
      <c r="Q9" s="1075"/>
      <c r="R9" s="1075"/>
      <c r="S9" s="1075"/>
    </row>
    <row r="10" spans="1:19">
      <c r="A10" s="1096"/>
      <c r="B10" s="1075"/>
      <c r="C10" s="1100" t="s">
        <v>717</v>
      </c>
      <c r="D10" s="1100"/>
      <c r="E10" s="1101" t="s">
        <v>718</v>
      </c>
      <c r="F10" s="1100"/>
      <c r="G10" s="1102" t="s">
        <v>719</v>
      </c>
      <c r="H10" s="1102"/>
      <c r="I10" s="1103" t="s">
        <v>720</v>
      </c>
      <c r="J10" s="1100"/>
      <c r="K10" s="1100"/>
      <c r="L10" s="1102"/>
      <c r="M10" s="1082" t="str">
        <f>"FUNCTIONALIZATION 12/31/"&amp;TCOS!L4-1</f>
        <v>FUNCTIONALIZATION 12/31/2019</v>
      </c>
      <c r="N10" s="1079"/>
      <c r="O10" s="1079"/>
      <c r="P10" s="1075"/>
      <c r="Q10" s="1082" t="str">
        <f>"FUNCTIONALIZATION 12/31/"&amp;TCOS!L4</f>
        <v>FUNCTIONALIZATION 12/31/2020</v>
      </c>
      <c r="R10" s="1079"/>
      <c r="S10" s="1079"/>
    </row>
    <row r="11" spans="1:19">
      <c r="A11" s="1096"/>
      <c r="B11" s="1075"/>
      <c r="C11" s="1104"/>
      <c r="D11" s="1104"/>
      <c r="E11" s="1097"/>
      <c r="F11" s="1097"/>
      <c r="G11" s="1102" t="s">
        <v>721</v>
      </c>
      <c r="H11" s="1102"/>
      <c r="I11" s="1104"/>
      <c r="J11" s="1104"/>
      <c r="K11" s="1104"/>
      <c r="L11" s="1102"/>
      <c r="M11" s="1083"/>
      <c r="N11" s="1083"/>
      <c r="O11" s="1083"/>
      <c r="P11" s="1075"/>
      <c r="Q11" s="1083"/>
      <c r="R11" s="1083"/>
      <c r="S11" s="1083"/>
    </row>
    <row r="12" spans="1:19">
      <c r="A12" s="1096"/>
      <c r="B12" s="1075"/>
      <c r="C12" s="1102" t="s">
        <v>722</v>
      </c>
      <c r="D12" s="1102" t="s">
        <v>722</v>
      </c>
      <c r="E12" s="1102" t="s">
        <v>722</v>
      </c>
      <c r="F12" s="1102" t="s">
        <v>722</v>
      </c>
      <c r="G12" s="1102" t="s">
        <v>723</v>
      </c>
      <c r="H12" s="1102"/>
      <c r="I12" s="1097"/>
      <c r="J12" s="1097"/>
      <c r="K12" s="1097"/>
      <c r="L12" s="1102"/>
      <c r="M12" s="1075"/>
      <c r="N12" s="1075"/>
      <c r="O12" s="1075"/>
      <c r="P12" s="1075"/>
      <c r="Q12" s="1075"/>
      <c r="R12" s="1075"/>
      <c r="S12" s="1075"/>
    </row>
    <row r="13" spans="1:19">
      <c r="A13" s="1096"/>
      <c r="B13" s="1078" t="s">
        <v>724</v>
      </c>
      <c r="C13" s="1099" t="str">
        <f>"OF 12-31-"&amp;TCOS!L4-1</f>
        <v>OF 12-31-2019</v>
      </c>
      <c r="D13" s="1099" t="str">
        <f>"OF 12-31-"&amp;TCOS!L4</f>
        <v>OF 12-31-2020</v>
      </c>
      <c r="E13" s="1099" t="str">
        <f>"OF 12-31-"&amp;TCOS!L4-1</f>
        <v>OF 12-31-2019</v>
      </c>
      <c r="F13" s="1099" t="str">
        <f>"OF 12-31-"&amp;TCOS!L4</f>
        <v>OF 12-31-2020</v>
      </c>
      <c r="G13" s="1099" t="s">
        <v>725</v>
      </c>
      <c r="H13" s="1099"/>
      <c r="I13" s="1099" t="s">
        <v>726</v>
      </c>
      <c r="J13" s="1099" t="s">
        <v>727</v>
      </c>
      <c r="K13" s="1099" t="s">
        <v>728</v>
      </c>
      <c r="L13" s="1099"/>
      <c r="M13" s="1078" t="s">
        <v>726</v>
      </c>
      <c r="N13" s="1078" t="s">
        <v>727</v>
      </c>
      <c r="O13" s="1078" t="s">
        <v>728</v>
      </c>
      <c r="P13" s="1075"/>
      <c r="Q13" s="1078" t="s">
        <v>726</v>
      </c>
      <c r="R13" s="1078" t="s">
        <v>727</v>
      </c>
      <c r="S13" s="1078" t="s">
        <v>728</v>
      </c>
    </row>
    <row r="14" spans="1:19">
      <c r="A14" s="1096"/>
      <c r="B14" s="1075"/>
      <c r="C14" s="1097"/>
      <c r="D14" s="1097"/>
      <c r="E14" s="1097"/>
      <c r="F14" s="1097"/>
      <c r="G14" s="1097"/>
      <c r="H14" s="1097"/>
      <c r="I14" s="1097"/>
      <c r="J14" s="1097"/>
      <c r="K14" s="1097"/>
      <c r="L14" s="1097"/>
      <c r="M14" s="1075"/>
      <c r="N14" s="1075"/>
      <c r="O14" s="1075"/>
      <c r="P14" s="1075"/>
      <c r="Q14" s="1075"/>
      <c r="R14" s="1075"/>
      <c r="S14" s="1075"/>
    </row>
    <row r="15" spans="1:19">
      <c r="A15" s="1105">
        <v>1</v>
      </c>
      <c r="B15" s="1091" t="s">
        <v>743</v>
      </c>
      <c r="C15" s="1085"/>
      <c r="D15" s="1085"/>
      <c r="E15" s="1085"/>
      <c r="F15" s="1086"/>
      <c r="G15" s="1085"/>
      <c r="H15" s="1085"/>
      <c r="I15" s="1085"/>
      <c r="J15" s="1085"/>
      <c r="K15" s="1085"/>
      <c r="L15" s="1085"/>
      <c r="M15" s="1085"/>
      <c r="N15" s="1085"/>
      <c r="O15" s="1085"/>
      <c r="P15" s="1085"/>
      <c r="Q15" s="1085"/>
      <c r="R15" s="1085"/>
      <c r="S15" s="1085"/>
    </row>
    <row r="16" spans="1:19">
      <c r="A16" s="1105"/>
      <c r="B16" s="1085"/>
      <c r="C16" s="1085"/>
      <c r="D16" s="1085"/>
      <c r="E16" s="1085"/>
      <c r="F16" s="1085"/>
      <c r="G16" s="1085"/>
      <c r="H16" s="1085"/>
      <c r="I16" s="1085"/>
      <c r="J16" s="1085"/>
      <c r="K16" s="1085"/>
      <c r="L16" s="1085"/>
      <c r="M16" s="1085"/>
      <c r="N16" s="1085"/>
      <c r="O16" s="1085"/>
      <c r="P16" s="1085"/>
      <c r="Q16" s="1085"/>
      <c r="R16" s="1085"/>
      <c r="S16" s="1085"/>
    </row>
    <row r="17" spans="1:19">
      <c r="A17" s="1115">
        <v>2.0099999999999998</v>
      </c>
      <c r="B17" s="884" t="s">
        <v>957</v>
      </c>
      <c r="C17" s="884">
        <f t="shared" ref="C17:C87" si="0">SUM(M17:O17)</f>
        <v>602587.98</v>
      </c>
      <c r="D17" s="884">
        <f t="shared" ref="D17:D87" si="1">SUM(Q17:S17)</f>
        <v>317341.86</v>
      </c>
      <c r="E17" s="1085"/>
      <c r="F17" s="1085"/>
      <c r="G17" s="1085">
        <f t="shared" ref="G17:G87" si="2">ROUND(SUM(C17:F17)/2,0)</f>
        <v>459965</v>
      </c>
      <c r="H17" s="1085"/>
      <c r="I17" s="1085">
        <f t="shared" ref="I17:K52" si="3">(M17+Q17)/2</f>
        <v>324434.27500000002</v>
      </c>
      <c r="J17" s="1085">
        <f t="shared" si="3"/>
        <v>33276.014999999999</v>
      </c>
      <c r="K17" s="1085">
        <f t="shared" si="3"/>
        <v>102254.63</v>
      </c>
      <c r="L17" s="1085"/>
      <c r="M17" s="884">
        <v>463514.42</v>
      </c>
      <c r="N17" s="884">
        <v>32439.56</v>
      </c>
      <c r="O17" s="884">
        <v>106634</v>
      </c>
      <c r="P17" s="1085"/>
      <c r="Q17" s="884">
        <v>185354.13</v>
      </c>
      <c r="R17" s="884">
        <v>34112.47</v>
      </c>
      <c r="S17" s="884">
        <v>97875.260000000009</v>
      </c>
    </row>
    <row r="18" spans="1:19">
      <c r="A18" s="1115">
        <f>A17+0.01</f>
        <v>2.0199999999999996</v>
      </c>
      <c r="B18" s="884" t="s">
        <v>958</v>
      </c>
      <c r="C18" s="884">
        <f t="shared" si="0"/>
        <v>5315925.1899999995</v>
      </c>
      <c r="D18" s="884">
        <f t="shared" si="1"/>
        <v>5545632.0800000001</v>
      </c>
      <c r="E18" s="1085"/>
      <c r="F18" s="1085"/>
      <c r="G18" s="1085">
        <f t="shared" si="2"/>
        <v>5430779</v>
      </c>
      <c r="H18" s="1085"/>
      <c r="I18" s="1085">
        <f t="shared" si="3"/>
        <v>2350345.25</v>
      </c>
      <c r="J18" s="1085">
        <f t="shared" si="3"/>
        <v>1948636.44</v>
      </c>
      <c r="K18" s="1085">
        <f t="shared" si="3"/>
        <v>1131796.9449999998</v>
      </c>
      <c r="L18" s="1085"/>
      <c r="M18" s="884">
        <v>2399651.7799999998</v>
      </c>
      <c r="N18" s="884">
        <v>1832959.43</v>
      </c>
      <c r="O18" s="884">
        <v>1083313.98</v>
      </c>
      <c r="P18" s="1085"/>
      <c r="Q18" s="884">
        <v>2301038.7199999997</v>
      </c>
      <c r="R18" s="884">
        <v>2064313.4499999997</v>
      </c>
      <c r="S18" s="884">
        <v>1180279.9099999999</v>
      </c>
    </row>
    <row r="19" spans="1:19">
      <c r="A19" s="1115">
        <f t="shared" ref="A19:A91" si="4">A18+0.01</f>
        <v>2.0299999999999994</v>
      </c>
      <c r="B19" s="884" t="s">
        <v>959</v>
      </c>
      <c r="C19" s="884">
        <f t="shared" si="0"/>
        <v>970755.37</v>
      </c>
      <c r="D19" s="884">
        <f t="shared" si="1"/>
        <v>1241181.3999999999</v>
      </c>
      <c r="E19" s="1085"/>
      <c r="F19" s="1085"/>
      <c r="G19" s="1085">
        <f t="shared" si="2"/>
        <v>1105968</v>
      </c>
      <c r="H19" s="1085"/>
      <c r="I19" s="1085">
        <f t="shared" si="3"/>
        <v>70268.100000000006</v>
      </c>
      <c r="J19" s="1085">
        <f t="shared" si="3"/>
        <v>96307.114999999991</v>
      </c>
      <c r="K19" s="1085">
        <f t="shared" si="3"/>
        <v>939393.16999999993</v>
      </c>
      <c r="L19" s="1085"/>
      <c r="M19" s="884">
        <v>70268.100000000006</v>
      </c>
      <c r="N19" s="884">
        <v>78967.94</v>
      </c>
      <c r="O19" s="884">
        <v>821519.33</v>
      </c>
      <c r="P19" s="1085"/>
      <c r="Q19" s="884">
        <v>70268.100000000006</v>
      </c>
      <c r="R19" s="884">
        <v>113646.29</v>
      </c>
      <c r="S19" s="884">
        <v>1057267.01</v>
      </c>
    </row>
    <row r="20" spans="1:19">
      <c r="A20" s="1115">
        <f t="shared" si="4"/>
        <v>2.0399999999999991</v>
      </c>
      <c r="B20" s="884" t="s">
        <v>960</v>
      </c>
      <c r="C20" s="884">
        <f t="shared" si="0"/>
        <v>-248.82</v>
      </c>
      <c r="D20" s="884">
        <f t="shared" si="1"/>
        <v>-647.99</v>
      </c>
      <c r="E20" s="1085"/>
      <c r="F20" s="1085"/>
      <c r="G20" s="1085">
        <f t="shared" si="2"/>
        <v>-448</v>
      </c>
      <c r="H20" s="1085"/>
      <c r="I20" s="1085">
        <f t="shared" si="3"/>
        <v>0</v>
      </c>
      <c r="J20" s="1085">
        <f t="shared" si="3"/>
        <v>0</v>
      </c>
      <c r="K20" s="1085">
        <f t="shared" si="3"/>
        <v>-448.40499999999997</v>
      </c>
      <c r="L20" s="1085"/>
      <c r="M20" s="884">
        <v>0</v>
      </c>
      <c r="N20" s="884">
        <v>0</v>
      </c>
      <c r="O20" s="884">
        <v>-248.82</v>
      </c>
      <c r="P20" s="1085"/>
      <c r="Q20" s="884">
        <v>0</v>
      </c>
      <c r="R20" s="884">
        <v>0</v>
      </c>
      <c r="S20" s="884">
        <v>-647.99</v>
      </c>
    </row>
    <row r="21" spans="1:19">
      <c r="A21" s="1115">
        <f t="shared" si="4"/>
        <v>2.0499999999999989</v>
      </c>
      <c r="B21" s="884" t="s">
        <v>961</v>
      </c>
      <c r="C21" s="884">
        <f t="shared" si="0"/>
        <v>0</v>
      </c>
      <c r="D21" s="884">
        <f t="shared" si="1"/>
        <v>0</v>
      </c>
      <c r="E21" s="1085"/>
      <c r="F21" s="1085"/>
      <c r="G21" s="1085">
        <f t="shared" si="2"/>
        <v>0</v>
      </c>
      <c r="H21" s="1085"/>
      <c r="I21" s="1085">
        <f t="shared" si="3"/>
        <v>0</v>
      </c>
      <c r="J21" s="1085">
        <f t="shared" si="3"/>
        <v>0</v>
      </c>
      <c r="K21" s="1085">
        <f t="shared" si="3"/>
        <v>0</v>
      </c>
      <c r="L21" s="1085"/>
      <c r="M21" s="884">
        <v>0</v>
      </c>
      <c r="N21" s="884">
        <v>0</v>
      </c>
      <c r="O21" s="884">
        <v>0</v>
      </c>
      <c r="P21" s="1085"/>
      <c r="Q21" s="884">
        <v>0</v>
      </c>
      <c r="R21" s="884">
        <v>0</v>
      </c>
      <c r="S21" s="884">
        <v>0</v>
      </c>
    </row>
    <row r="22" spans="1:19">
      <c r="A22" s="1115">
        <f t="shared" si="4"/>
        <v>2.0599999999999987</v>
      </c>
      <c r="B22" s="884" t="s">
        <v>962</v>
      </c>
      <c r="C22" s="884">
        <f t="shared" si="0"/>
        <v>-0.01</v>
      </c>
      <c r="D22" s="884">
        <f t="shared" si="1"/>
        <v>-0.01</v>
      </c>
      <c r="E22" s="1085"/>
      <c r="F22" s="1085"/>
      <c r="G22" s="1085">
        <f t="shared" si="2"/>
        <v>0</v>
      </c>
      <c r="H22" s="1085"/>
      <c r="I22" s="1085">
        <f t="shared" si="3"/>
        <v>-0.01</v>
      </c>
      <c r="J22" s="1085">
        <f t="shared" si="3"/>
        <v>0</v>
      </c>
      <c r="K22" s="1085">
        <f t="shared" si="3"/>
        <v>0</v>
      </c>
      <c r="L22" s="1085"/>
      <c r="M22" s="884">
        <v>-0.01</v>
      </c>
      <c r="N22" s="884">
        <v>0</v>
      </c>
      <c r="O22" s="884">
        <v>0</v>
      </c>
      <c r="P22" s="1085"/>
      <c r="Q22" s="884">
        <v>-0.01</v>
      </c>
      <c r="R22" s="884">
        <v>0</v>
      </c>
      <c r="S22" s="884">
        <v>0</v>
      </c>
    </row>
    <row r="23" spans="1:19">
      <c r="A23" s="1115">
        <f t="shared" si="4"/>
        <v>2.0699999999999985</v>
      </c>
      <c r="B23" s="884" t="s">
        <v>963</v>
      </c>
      <c r="C23" s="884">
        <f t="shared" si="0"/>
        <v>0</v>
      </c>
      <c r="D23" s="884">
        <f t="shared" si="1"/>
        <v>0</v>
      </c>
      <c r="E23" s="1085"/>
      <c r="F23" s="1085"/>
      <c r="G23" s="1085">
        <f t="shared" si="2"/>
        <v>0</v>
      </c>
      <c r="H23" s="1085"/>
      <c r="I23" s="1085">
        <f t="shared" si="3"/>
        <v>0</v>
      </c>
      <c r="J23" s="1085">
        <f t="shared" si="3"/>
        <v>0</v>
      </c>
      <c r="K23" s="1085">
        <f t="shared" si="3"/>
        <v>0</v>
      </c>
      <c r="L23" s="1085"/>
      <c r="M23" s="884">
        <v>0</v>
      </c>
      <c r="N23" s="884">
        <v>0</v>
      </c>
      <c r="O23" s="884">
        <v>0</v>
      </c>
      <c r="P23" s="1085"/>
      <c r="Q23" s="884">
        <v>0</v>
      </c>
      <c r="R23" s="884">
        <v>0</v>
      </c>
      <c r="S23" s="884">
        <v>0</v>
      </c>
    </row>
    <row r="24" spans="1:19">
      <c r="A24" s="1115">
        <f t="shared" si="4"/>
        <v>2.0799999999999983</v>
      </c>
      <c r="B24" s="884" t="s">
        <v>964</v>
      </c>
      <c r="C24" s="884">
        <f t="shared" si="0"/>
        <v>94890.260000000009</v>
      </c>
      <c r="D24" s="884">
        <f t="shared" si="1"/>
        <v>66417.95</v>
      </c>
      <c r="E24" s="1085"/>
      <c r="F24" s="1085"/>
      <c r="G24" s="1085">
        <f t="shared" si="2"/>
        <v>80654</v>
      </c>
      <c r="H24" s="1085"/>
      <c r="I24" s="1085">
        <f t="shared" si="3"/>
        <v>25117.759999999998</v>
      </c>
      <c r="J24" s="1085">
        <f t="shared" si="3"/>
        <v>55536.345000000001</v>
      </c>
      <c r="K24" s="1085">
        <f t="shared" si="3"/>
        <v>0</v>
      </c>
      <c r="L24" s="1085"/>
      <c r="M24" s="884">
        <v>39353.89</v>
      </c>
      <c r="N24" s="884">
        <v>55536.37</v>
      </c>
      <c r="O24" s="884">
        <v>0</v>
      </c>
      <c r="P24" s="1085"/>
      <c r="Q24" s="884">
        <v>10881.63</v>
      </c>
      <c r="R24" s="884">
        <v>55536.32</v>
      </c>
      <c r="S24" s="884">
        <v>0</v>
      </c>
    </row>
    <row r="25" spans="1:19">
      <c r="A25" s="1115">
        <f t="shared" si="4"/>
        <v>2.0899999999999981</v>
      </c>
      <c r="B25" s="884" t="s">
        <v>965</v>
      </c>
      <c r="C25" s="884">
        <f t="shared" si="0"/>
        <v>0</v>
      </c>
      <c r="D25" s="884">
        <f t="shared" si="1"/>
        <v>0</v>
      </c>
      <c r="E25" s="1085"/>
      <c r="F25" s="1085"/>
      <c r="G25" s="1085">
        <f t="shared" si="2"/>
        <v>0</v>
      </c>
      <c r="H25" s="1085"/>
      <c r="I25" s="1085">
        <f t="shared" si="3"/>
        <v>0</v>
      </c>
      <c r="J25" s="1085">
        <f t="shared" si="3"/>
        <v>0</v>
      </c>
      <c r="K25" s="1085">
        <f t="shared" si="3"/>
        <v>0</v>
      </c>
      <c r="L25" s="1085"/>
      <c r="M25" s="884">
        <v>0</v>
      </c>
      <c r="N25" s="884">
        <v>0</v>
      </c>
      <c r="O25" s="884">
        <v>0</v>
      </c>
      <c r="P25" s="1085"/>
      <c r="Q25" s="884">
        <v>0</v>
      </c>
      <c r="R25" s="884">
        <v>0</v>
      </c>
      <c r="S25" s="884">
        <v>0</v>
      </c>
    </row>
    <row r="26" spans="1:19">
      <c r="A26" s="1115">
        <f t="shared" si="4"/>
        <v>2.0999999999999979</v>
      </c>
      <c r="B26" s="884" t="s">
        <v>966</v>
      </c>
      <c r="C26" s="884">
        <f t="shared" si="0"/>
        <v>0</v>
      </c>
      <c r="D26" s="884">
        <f t="shared" si="1"/>
        <v>0</v>
      </c>
      <c r="E26" s="1085"/>
      <c r="F26" s="1085"/>
      <c r="G26" s="1085">
        <f t="shared" si="2"/>
        <v>0</v>
      </c>
      <c r="H26" s="1085"/>
      <c r="I26" s="1085">
        <f t="shared" si="3"/>
        <v>0</v>
      </c>
      <c r="J26" s="1085">
        <f t="shared" si="3"/>
        <v>0</v>
      </c>
      <c r="K26" s="1085">
        <f t="shared" si="3"/>
        <v>0</v>
      </c>
      <c r="L26" s="1085"/>
      <c r="M26" s="884">
        <v>0</v>
      </c>
      <c r="N26" s="884">
        <v>0</v>
      </c>
      <c r="O26" s="884">
        <v>0</v>
      </c>
      <c r="P26" s="1085"/>
      <c r="Q26" s="884">
        <v>0</v>
      </c>
      <c r="R26" s="884">
        <v>0</v>
      </c>
      <c r="S26" s="884">
        <v>0</v>
      </c>
    </row>
    <row r="27" spans="1:19">
      <c r="A27" s="1115">
        <f t="shared" si="4"/>
        <v>2.1099999999999977</v>
      </c>
      <c r="B27" s="884" t="s">
        <v>1265</v>
      </c>
      <c r="C27" s="884">
        <f t="shared" si="0"/>
        <v>0</v>
      </c>
      <c r="D27" s="884">
        <f t="shared" si="1"/>
        <v>-0.11</v>
      </c>
      <c r="E27" s="1085"/>
      <c r="F27" s="1085"/>
      <c r="G27" s="1085">
        <f t="shared" si="2"/>
        <v>0</v>
      </c>
      <c r="H27" s="1085"/>
      <c r="I27" s="1085">
        <f t="shared" si="3"/>
        <v>0</v>
      </c>
      <c r="J27" s="1085">
        <f t="shared" si="3"/>
        <v>0</v>
      </c>
      <c r="K27" s="1085">
        <f t="shared" si="3"/>
        <v>-5.5E-2</v>
      </c>
      <c r="L27" s="1085"/>
      <c r="M27" s="884">
        <v>0</v>
      </c>
      <c r="N27" s="884">
        <v>0</v>
      </c>
      <c r="O27" s="884">
        <v>0</v>
      </c>
      <c r="P27" s="1085"/>
      <c r="Q27" s="884">
        <v>0</v>
      </c>
      <c r="R27" s="884">
        <v>0</v>
      </c>
      <c r="S27" s="884">
        <v>-0.11</v>
      </c>
    </row>
    <row r="28" spans="1:19">
      <c r="A28" s="1115">
        <f t="shared" si="4"/>
        <v>2.1199999999999974</v>
      </c>
      <c r="B28" s="884" t="s">
        <v>967</v>
      </c>
      <c r="C28" s="884">
        <f t="shared" si="0"/>
        <v>-17856.93</v>
      </c>
      <c r="D28" s="884">
        <f t="shared" si="1"/>
        <v>-17856.93</v>
      </c>
      <c r="E28" s="1085"/>
      <c r="F28" s="1085"/>
      <c r="G28" s="1085">
        <f t="shared" si="2"/>
        <v>-17857</v>
      </c>
      <c r="H28" s="1085"/>
      <c r="I28" s="1085">
        <f t="shared" si="3"/>
        <v>-17856.93</v>
      </c>
      <c r="J28" s="1085">
        <f t="shared" si="3"/>
        <v>0</v>
      </c>
      <c r="K28" s="1085">
        <f t="shared" si="3"/>
        <v>0</v>
      </c>
      <c r="L28" s="1085"/>
      <c r="M28" s="884">
        <v>-17856.93</v>
      </c>
      <c r="N28" s="884">
        <v>0</v>
      </c>
      <c r="O28" s="884">
        <v>0</v>
      </c>
      <c r="P28" s="1085"/>
      <c r="Q28" s="884">
        <v>-17856.93</v>
      </c>
      <c r="R28" s="884">
        <v>0</v>
      </c>
      <c r="S28" s="884">
        <v>0</v>
      </c>
    </row>
    <row r="29" spans="1:19">
      <c r="A29" s="1115">
        <f t="shared" si="4"/>
        <v>2.1299999999999972</v>
      </c>
      <c r="B29" s="884" t="s">
        <v>1259</v>
      </c>
      <c r="C29" s="884">
        <f t="shared" ref="C29:C30" si="5">SUM(M29:O29)</f>
        <v>0</v>
      </c>
      <c r="D29" s="884">
        <f t="shared" ref="D29:D30" si="6">SUM(Q29:S29)</f>
        <v>-12881.64</v>
      </c>
      <c r="E29" s="1085"/>
      <c r="F29" s="1085"/>
      <c r="G29" s="1085">
        <f t="shared" ref="G29:G30" si="7">ROUND(SUM(C29:F29)/2,0)</f>
        <v>-6441</v>
      </c>
      <c r="H29" s="1085"/>
      <c r="I29" s="1085">
        <f t="shared" ref="I29:I30" si="8">(M29+Q29)/2</f>
        <v>2668.9850000000001</v>
      </c>
      <c r="J29" s="1085">
        <f t="shared" ref="J29:J30" si="9">(N29+R29)/2</f>
        <v>-1835.64</v>
      </c>
      <c r="K29" s="1085">
        <f t="shared" ref="K29:K30" si="10">(O29+S29)/2</f>
        <v>-7274.165</v>
      </c>
      <c r="L29" s="1085"/>
      <c r="M29" s="884">
        <v>0</v>
      </c>
      <c r="N29" s="884">
        <v>0</v>
      </c>
      <c r="O29" s="884">
        <v>0</v>
      </c>
      <c r="P29" s="1085"/>
      <c r="Q29" s="884">
        <v>5337.97</v>
      </c>
      <c r="R29" s="884">
        <v>-3671.28</v>
      </c>
      <c r="S29" s="884">
        <v>-14548.33</v>
      </c>
    </row>
    <row r="30" spans="1:19">
      <c r="A30" s="1115">
        <f t="shared" si="4"/>
        <v>2.139999999999997</v>
      </c>
      <c r="B30" s="884" t="s">
        <v>968</v>
      </c>
      <c r="C30" s="884">
        <f t="shared" si="5"/>
        <v>1063567.74</v>
      </c>
      <c r="D30" s="884">
        <f t="shared" si="6"/>
        <v>1562355.0699999998</v>
      </c>
      <c r="E30" s="1085"/>
      <c r="F30" s="1085"/>
      <c r="G30" s="1085">
        <f t="shared" si="7"/>
        <v>1312961</v>
      </c>
      <c r="H30" s="1085"/>
      <c r="I30" s="1085">
        <f t="shared" si="8"/>
        <v>868509.07499999995</v>
      </c>
      <c r="J30" s="1085">
        <f t="shared" si="9"/>
        <v>9574.7150000000001</v>
      </c>
      <c r="K30" s="1085">
        <f t="shared" si="10"/>
        <v>434877.61499999999</v>
      </c>
      <c r="L30" s="1085"/>
      <c r="M30" s="884">
        <v>697497.16</v>
      </c>
      <c r="N30" s="884">
        <v>10530.6</v>
      </c>
      <c r="O30" s="884">
        <v>355539.98</v>
      </c>
      <c r="P30" s="1085"/>
      <c r="Q30" s="884">
        <v>1039520.99</v>
      </c>
      <c r="R30" s="884">
        <v>8618.83</v>
      </c>
      <c r="S30" s="884">
        <v>514215.25</v>
      </c>
    </row>
    <row r="31" spans="1:19">
      <c r="A31" s="1115">
        <f t="shared" si="4"/>
        <v>2.1499999999999968</v>
      </c>
      <c r="B31" s="884" t="s">
        <v>969</v>
      </c>
      <c r="C31" s="884">
        <f t="shared" si="0"/>
        <v>-8949060.709999999</v>
      </c>
      <c r="D31" s="884">
        <f t="shared" si="1"/>
        <v>-8965093.0300000012</v>
      </c>
      <c r="E31" s="1085"/>
      <c r="F31" s="1085"/>
      <c r="G31" s="1085">
        <f t="shared" si="2"/>
        <v>-8957077</v>
      </c>
      <c r="H31" s="1085"/>
      <c r="I31" s="1085">
        <f t="shared" si="3"/>
        <v>-7209210.3499999996</v>
      </c>
      <c r="J31" s="1085">
        <f t="shared" si="3"/>
        <v>-60481.135000000002</v>
      </c>
      <c r="K31" s="1085">
        <f t="shared" si="3"/>
        <v>-1687385.3849999998</v>
      </c>
      <c r="L31" s="1085"/>
      <c r="M31" s="884">
        <v>-7248819.0099999998</v>
      </c>
      <c r="N31" s="884">
        <v>-52032.31</v>
      </c>
      <c r="O31" s="884">
        <v>-1648209.39</v>
      </c>
      <c r="P31" s="1085"/>
      <c r="Q31" s="884">
        <v>-7169601.6900000004</v>
      </c>
      <c r="R31" s="884">
        <v>-68929.960000000006</v>
      </c>
      <c r="S31" s="884">
        <v>-1726561.38</v>
      </c>
    </row>
    <row r="32" spans="1:19">
      <c r="A32" s="1115">
        <f t="shared" si="4"/>
        <v>2.1599999999999966</v>
      </c>
      <c r="B32" s="884" t="s">
        <v>970</v>
      </c>
      <c r="C32" s="884">
        <f t="shared" si="0"/>
        <v>35272.369999999995</v>
      </c>
      <c r="D32" s="884">
        <f t="shared" si="1"/>
        <v>36914.15</v>
      </c>
      <c r="E32" s="1085"/>
      <c r="F32" s="1085"/>
      <c r="G32" s="1085">
        <f t="shared" si="2"/>
        <v>36093</v>
      </c>
      <c r="H32" s="1085"/>
      <c r="I32" s="1085">
        <f t="shared" si="3"/>
        <v>140.26</v>
      </c>
      <c r="J32" s="1085">
        <f t="shared" si="3"/>
        <v>0</v>
      </c>
      <c r="K32" s="1085">
        <f t="shared" si="3"/>
        <v>35953</v>
      </c>
      <c r="L32" s="1085"/>
      <c r="M32" s="884">
        <v>51.53</v>
      </c>
      <c r="N32" s="884">
        <v>0</v>
      </c>
      <c r="O32" s="884">
        <v>35220.839999999997</v>
      </c>
      <c r="P32" s="1085"/>
      <c r="Q32" s="884">
        <v>228.99</v>
      </c>
      <c r="R32" s="884">
        <v>0</v>
      </c>
      <c r="S32" s="884">
        <v>36685.160000000003</v>
      </c>
    </row>
    <row r="33" spans="1:19">
      <c r="A33" s="1115">
        <f t="shared" si="4"/>
        <v>2.1699999999999964</v>
      </c>
      <c r="B33" s="884" t="s">
        <v>971</v>
      </c>
      <c r="C33" s="884">
        <f t="shared" si="0"/>
        <v>-21245.91</v>
      </c>
      <c r="D33" s="884">
        <f t="shared" si="1"/>
        <v>-19890.150000000001</v>
      </c>
      <c r="E33" s="1085"/>
      <c r="F33" s="1085"/>
      <c r="G33" s="1085">
        <f t="shared" si="2"/>
        <v>-20568</v>
      </c>
      <c r="H33" s="1085"/>
      <c r="I33" s="1085">
        <f t="shared" si="3"/>
        <v>1150.5900000000001</v>
      </c>
      <c r="J33" s="1085">
        <f t="shared" si="3"/>
        <v>0</v>
      </c>
      <c r="K33" s="1085">
        <f t="shared" si="3"/>
        <v>-21718.620000000003</v>
      </c>
      <c r="L33" s="1085"/>
      <c r="M33" s="884">
        <v>1065.54</v>
      </c>
      <c r="N33" s="884">
        <v>0</v>
      </c>
      <c r="O33" s="884">
        <v>-22311.45</v>
      </c>
      <c r="P33" s="1085"/>
      <c r="Q33" s="884">
        <v>1235.6400000000001</v>
      </c>
      <c r="R33" s="884">
        <v>0</v>
      </c>
      <c r="S33" s="884">
        <v>-21125.79</v>
      </c>
    </row>
    <row r="34" spans="1:19">
      <c r="A34" s="1115">
        <f t="shared" si="4"/>
        <v>2.1799999999999962</v>
      </c>
      <c r="B34" s="884" t="s">
        <v>972</v>
      </c>
      <c r="C34" s="884">
        <f t="shared" si="0"/>
        <v>8229.65</v>
      </c>
      <c r="D34" s="884">
        <f t="shared" si="1"/>
        <v>12366.9</v>
      </c>
      <c r="E34" s="1085"/>
      <c r="F34" s="1085"/>
      <c r="G34" s="1085">
        <f t="shared" si="2"/>
        <v>10298</v>
      </c>
      <c r="H34" s="1085"/>
      <c r="I34" s="1085">
        <f t="shared" si="3"/>
        <v>3860.6549999999997</v>
      </c>
      <c r="J34" s="1085">
        <f t="shared" si="3"/>
        <v>0</v>
      </c>
      <c r="K34" s="1085">
        <f t="shared" si="3"/>
        <v>6437.62</v>
      </c>
      <c r="L34" s="1085"/>
      <c r="M34" s="884">
        <v>4365.59</v>
      </c>
      <c r="N34" s="884">
        <v>0</v>
      </c>
      <c r="O34" s="884">
        <v>3864.06</v>
      </c>
      <c r="P34" s="1085"/>
      <c r="Q34" s="884">
        <v>3355.72</v>
      </c>
      <c r="R34" s="884">
        <v>0</v>
      </c>
      <c r="S34" s="884">
        <v>9011.18</v>
      </c>
    </row>
    <row r="35" spans="1:19">
      <c r="A35" s="1115">
        <f t="shared" si="4"/>
        <v>2.1899999999999959</v>
      </c>
      <c r="B35" s="884" t="s">
        <v>1260</v>
      </c>
      <c r="C35" s="884">
        <f t="shared" ref="C35" si="11">SUM(M35:O35)</f>
        <v>0</v>
      </c>
      <c r="D35" s="884">
        <f t="shared" ref="D35" si="12">SUM(Q35:S35)</f>
        <v>116987.14000000001</v>
      </c>
      <c r="E35" s="1085"/>
      <c r="F35" s="1085"/>
      <c r="G35" s="1085">
        <f t="shared" ref="G35" si="13">ROUND(SUM(C35:F35)/2,0)</f>
        <v>58494</v>
      </c>
      <c r="H35" s="1085"/>
      <c r="I35" s="1085">
        <f t="shared" ref="I35" si="14">(M35+Q35)/2</f>
        <v>52006.605000000003</v>
      </c>
      <c r="J35" s="1085">
        <f t="shared" ref="J35" si="15">(N35+R35)/2</f>
        <v>0</v>
      </c>
      <c r="K35" s="1085">
        <f t="shared" ref="K35" si="16">(O35+S35)/2</f>
        <v>6486.9650000000001</v>
      </c>
      <c r="L35" s="1085"/>
      <c r="M35" s="884">
        <v>0</v>
      </c>
      <c r="N35" s="884">
        <v>0</v>
      </c>
      <c r="O35" s="884">
        <v>0</v>
      </c>
      <c r="P35" s="1085"/>
      <c r="Q35" s="884">
        <v>104013.21</v>
      </c>
      <c r="R35" s="884">
        <v>0</v>
      </c>
      <c r="S35" s="884">
        <v>12973.93</v>
      </c>
    </row>
    <row r="36" spans="1:19">
      <c r="A36" s="1115">
        <f t="shared" si="4"/>
        <v>2.1999999999999957</v>
      </c>
      <c r="B36" s="884" t="s">
        <v>973</v>
      </c>
      <c r="C36" s="884">
        <f t="shared" si="0"/>
        <v>-0.44</v>
      </c>
      <c r="D36" s="884">
        <f t="shared" si="1"/>
        <v>-0.65</v>
      </c>
      <c r="E36" s="1085"/>
      <c r="F36" s="1085"/>
      <c r="G36" s="1085">
        <f t="shared" si="2"/>
        <v>-1</v>
      </c>
      <c r="H36" s="1085"/>
      <c r="I36" s="1085">
        <f t="shared" si="3"/>
        <v>-0.22</v>
      </c>
      <c r="J36" s="1085">
        <f t="shared" si="3"/>
        <v>0</v>
      </c>
      <c r="K36" s="1085">
        <f t="shared" si="3"/>
        <v>-0.32500000000000001</v>
      </c>
      <c r="L36" s="1085"/>
      <c r="M36" s="884">
        <v>-0.22</v>
      </c>
      <c r="N36" s="884">
        <v>0</v>
      </c>
      <c r="O36" s="884">
        <v>-0.22</v>
      </c>
      <c r="P36" s="1085"/>
      <c r="Q36" s="884">
        <v>-0.22</v>
      </c>
      <c r="R36" s="884">
        <v>0</v>
      </c>
      <c r="S36" s="884">
        <v>-0.43</v>
      </c>
    </row>
    <row r="37" spans="1:19">
      <c r="A37" s="1115">
        <f t="shared" si="4"/>
        <v>2.2099999999999955</v>
      </c>
      <c r="B37" s="884" t="s">
        <v>1261</v>
      </c>
      <c r="C37" s="884">
        <f t="shared" ref="C37" si="17">SUM(M37:O37)</f>
        <v>0</v>
      </c>
      <c r="D37" s="884">
        <f t="shared" ref="D37" si="18">SUM(Q37:S37)</f>
        <v>-30907.1</v>
      </c>
      <c r="E37" s="1085"/>
      <c r="F37" s="1085"/>
      <c r="G37" s="1085">
        <f t="shared" ref="G37" si="19">ROUND(SUM(C37:F37)/2,0)</f>
        <v>-15454</v>
      </c>
      <c r="H37" s="1085"/>
      <c r="I37" s="1085">
        <f t="shared" ref="I37" si="20">(M37+Q37)/2</f>
        <v>-3501.5949999999998</v>
      </c>
      <c r="J37" s="1085">
        <f t="shared" ref="J37" si="21">(N37+R37)/2</f>
        <v>0</v>
      </c>
      <c r="K37" s="1085">
        <f t="shared" ref="K37" si="22">(O37+S37)/2</f>
        <v>-11951.955</v>
      </c>
      <c r="L37" s="1085"/>
      <c r="M37" s="884">
        <v>0</v>
      </c>
      <c r="N37" s="884">
        <v>0</v>
      </c>
      <c r="O37" s="884">
        <v>0</v>
      </c>
      <c r="P37" s="1085"/>
      <c r="Q37" s="884">
        <v>-7003.19</v>
      </c>
      <c r="R37" s="884"/>
      <c r="S37" s="884">
        <v>-23903.91</v>
      </c>
    </row>
    <row r="38" spans="1:19">
      <c r="A38" s="1115">
        <f t="shared" si="4"/>
        <v>2.2199999999999953</v>
      </c>
      <c r="B38" s="884" t="s">
        <v>974</v>
      </c>
      <c r="C38" s="884">
        <f t="shared" si="0"/>
        <v>72558.55</v>
      </c>
      <c r="D38" s="884">
        <f t="shared" si="1"/>
        <v>18342.55</v>
      </c>
      <c r="E38" s="1085"/>
      <c r="F38" s="1085"/>
      <c r="G38" s="1085">
        <f t="shared" si="2"/>
        <v>45451</v>
      </c>
      <c r="H38" s="1085"/>
      <c r="I38" s="1085">
        <f t="shared" si="3"/>
        <v>11.594999999999999</v>
      </c>
      <c r="J38" s="1085">
        <f t="shared" si="3"/>
        <v>0.495</v>
      </c>
      <c r="K38" s="1085">
        <f t="shared" si="3"/>
        <v>45438.460000000006</v>
      </c>
      <c r="L38" s="1085"/>
      <c r="M38" s="884">
        <v>0.15</v>
      </c>
      <c r="N38" s="884">
        <v>-0.06</v>
      </c>
      <c r="O38" s="884">
        <v>72558.460000000006</v>
      </c>
      <c r="P38" s="1085"/>
      <c r="Q38" s="884">
        <v>23.04</v>
      </c>
      <c r="R38" s="884">
        <v>1.05</v>
      </c>
      <c r="S38" s="884">
        <v>18318.46</v>
      </c>
    </row>
    <row r="39" spans="1:19">
      <c r="A39" s="1115">
        <f t="shared" si="4"/>
        <v>2.2299999999999951</v>
      </c>
      <c r="B39" s="884" t="s">
        <v>975</v>
      </c>
      <c r="C39" s="884">
        <f t="shared" si="0"/>
        <v>2195.7600000000002</v>
      </c>
      <c r="D39" s="884">
        <f t="shared" si="1"/>
        <v>-2755.62</v>
      </c>
      <c r="E39" s="1085"/>
      <c r="F39" s="1085"/>
      <c r="G39" s="1085">
        <f t="shared" si="2"/>
        <v>-280</v>
      </c>
      <c r="H39" s="1085"/>
      <c r="I39" s="1085">
        <f t="shared" si="3"/>
        <v>-279.92999999999984</v>
      </c>
      <c r="J39" s="1085">
        <f t="shared" si="3"/>
        <v>0</v>
      </c>
      <c r="K39" s="1085">
        <f t="shared" si="3"/>
        <v>0</v>
      </c>
      <c r="L39" s="1085"/>
      <c r="M39" s="884">
        <v>2195.7600000000002</v>
      </c>
      <c r="N39" s="884">
        <v>0</v>
      </c>
      <c r="O39" s="884">
        <v>0</v>
      </c>
      <c r="P39" s="1085"/>
      <c r="Q39" s="884">
        <v>-2755.62</v>
      </c>
      <c r="R39" s="884">
        <v>0</v>
      </c>
      <c r="S39" s="884">
        <v>0</v>
      </c>
    </row>
    <row r="40" spans="1:19">
      <c r="A40" s="1115">
        <f t="shared" si="4"/>
        <v>2.2399999999999949</v>
      </c>
      <c r="B40" s="884" t="s">
        <v>976</v>
      </c>
      <c r="C40" s="884">
        <f t="shared" si="0"/>
        <v>0</v>
      </c>
      <c r="D40" s="884">
        <f t="shared" si="1"/>
        <v>0</v>
      </c>
      <c r="E40" s="1085"/>
      <c r="F40" s="1085"/>
      <c r="G40" s="1085">
        <f t="shared" si="2"/>
        <v>0</v>
      </c>
      <c r="H40" s="1085"/>
      <c r="I40" s="1085">
        <f t="shared" si="3"/>
        <v>0</v>
      </c>
      <c r="J40" s="1085">
        <f t="shared" si="3"/>
        <v>0</v>
      </c>
      <c r="K40" s="1085">
        <f t="shared" si="3"/>
        <v>0</v>
      </c>
      <c r="L40" s="1085"/>
      <c r="M40" s="884">
        <v>0</v>
      </c>
      <c r="N40" s="884">
        <v>0</v>
      </c>
      <c r="O40" s="884">
        <v>0</v>
      </c>
      <c r="P40" s="1085"/>
      <c r="Q40" s="884">
        <v>0</v>
      </c>
      <c r="R40" s="884">
        <v>0</v>
      </c>
      <c r="S40" s="884">
        <v>0</v>
      </c>
    </row>
    <row r="41" spans="1:19">
      <c r="A41" s="1115">
        <f t="shared" si="4"/>
        <v>2.2499999999999947</v>
      </c>
      <c r="B41" s="884" t="s">
        <v>977</v>
      </c>
      <c r="C41" s="884">
        <f t="shared" si="0"/>
        <v>-0.1</v>
      </c>
      <c r="D41" s="884">
        <f t="shared" si="1"/>
        <v>-0.1</v>
      </c>
      <c r="E41" s="1085"/>
      <c r="F41" s="1085"/>
      <c r="G41" s="1085">
        <f t="shared" si="2"/>
        <v>0</v>
      </c>
      <c r="H41" s="1085"/>
      <c r="I41" s="1085">
        <f t="shared" si="3"/>
        <v>-0.1</v>
      </c>
      <c r="J41" s="1085">
        <f t="shared" si="3"/>
        <v>0</v>
      </c>
      <c r="K41" s="1085">
        <f t="shared" si="3"/>
        <v>0</v>
      </c>
      <c r="L41" s="1085"/>
      <c r="M41" s="884">
        <v>-0.1</v>
      </c>
      <c r="N41" s="884">
        <v>0</v>
      </c>
      <c r="O41" s="884">
        <v>0</v>
      </c>
      <c r="P41" s="1085"/>
      <c r="Q41" s="884">
        <v>-0.1</v>
      </c>
      <c r="R41" s="884">
        <v>0</v>
      </c>
      <c r="S41" s="884">
        <v>0</v>
      </c>
    </row>
    <row r="42" spans="1:19">
      <c r="A42" s="1115">
        <f t="shared" si="4"/>
        <v>2.2599999999999945</v>
      </c>
      <c r="B42" s="884" t="s">
        <v>978</v>
      </c>
      <c r="C42" s="884">
        <f t="shared" si="0"/>
        <v>0.03</v>
      </c>
      <c r="D42" s="884">
        <f t="shared" si="1"/>
        <v>0.03</v>
      </c>
      <c r="E42" s="1085"/>
      <c r="F42" s="1085"/>
      <c r="G42" s="1085">
        <f t="shared" si="2"/>
        <v>0</v>
      </c>
      <c r="H42" s="1085"/>
      <c r="I42" s="1085">
        <f t="shared" si="3"/>
        <v>0</v>
      </c>
      <c r="J42" s="1085">
        <f t="shared" si="3"/>
        <v>0</v>
      </c>
      <c r="K42" s="1085">
        <f t="shared" si="3"/>
        <v>0.03</v>
      </c>
      <c r="L42" s="1085"/>
      <c r="M42" s="884">
        <v>0</v>
      </c>
      <c r="N42" s="884">
        <v>0</v>
      </c>
      <c r="O42" s="884">
        <v>0.03</v>
      </c>
      <c r="P42" s="1085"/>
      <c r="Q42" s="884">
        <v>0</v>
      </c>
      <c r="R42" s="884">
        <v>0</v>
      </c>
      <c r="S42" s="884">
        <v>0.03</v>
      </c>
    </row>
    <row r="43" spans="1:19">
      <c r="A43" s="1115">
        <f t="shared" si="4"/>
        <v>2.2699999999999942</v>
      </c>
      <c r="B43" s="884" t="s">
        <v>979</v>
      </c>
      <c r="C43" s="884">
        <f t="shared" si="0"/>
        <v>0</v>
      </c>
      <c r="D43" s="884">
        <f t="shared" si="1"/>
        <v>0</v>
      </c>
      <c r="E43" s="1085"/>
      <c r="F43" s="1085"/>
      <c r="G43" s="1085">
        <f t="shared" si="2"/>
        <v>0</v>
      </c>
      <c r="H43" s="1085"/>
      <c r="I43" s="1085">
        <f t="shared" si="3"/>
        <v>0</v>
      </c>
      <c r="J43" s="1085">
        <f t="shared" si="3"/>
        <v>0</v>
      </c>
      <c r="K43" s="1085">
        <f t="shared" si="3"/>
        <v>0</v>
      </c>
      <c r="L43" s="1085"/>
      <c r="M43" s="884">
        <v>0</v>
      </c>
      <c r="N43" s="884">
        <v>0</v>
      </c>
      <c r="O43" s="884">
        <v>0</v>
      </c>
      <c r="P43" s="1085"/>
      <c r="Q43" s="884">
        <v>0</v>
      </c>
      <c r="R43" s="884">
        <v>0</v>
      </c>
      <c r="S43" s="884">
        <v>0</v>
      </c>
    </row>
    <row r="44" spans="1:19">
      <c r="A44" s="1115">
        <f t="shared" si="4"/>
        <v>2.279999999999994</v>
      </c>
      <c r="B44" s="884" t="s">
        <v>980</v>
      </c>
      <c r="C44" s="884">
        <f t="shared" si="0"/>
        <v>1317828.3500000001</v>
      </c>
      <c r="D44" s="884">
        <f t="shared" si="1"/>
        <v>1488873.1099999999</v>
      </c>
      <c r="E44" s="1085"/>
      <c r="F44" s="1085"/>
      <c r="G44" s="1085">
        <f t="shared" si="2"/>
        <v>1403351</v>
      </c>
      <c r="H44" s="1085"/>
      <c r="I44" s="1085">
        <f t="shared" si="3"/>
        <v>507794.91500000004</v>
      </c>
      <c r="J44" s="1085">
        <f t="shared" si="3"/>
        <v>63323.07</v>
      </c>
      <c r="K44" s="1085">
        <f t="shared" si="3"/>
        <v>832232.745</v>
      </c>
      <c r="L44" s="1085"/>
      <c r="M44" s="884">
        <v>618973.52</v>
      </c>
      <c r="N44" s="884">
        <v>63323.07</v>
      </c>
      <c r="O44" s="884">
        <v>635531.76</v>
      </c>
      <c r="P44" s="1085"/>
      <c r="Q44" s="884">
        <v>396616.31</v>
      </c>
      <c r="R44" s="884">
        <v>63323.07</v>
      </c>
      <c r="S44" s="884">
        <v>1028933.73</v>
      </c>
    </row>
    <row r="45" spans="1:19">
      <c r="A45" s="1115">
        <f t="shared" si="4"/>
        <v>2.2899999999999938</v>
      </c>
      <c r="B45" s="884" t="s">
        <v>981</v>
      </c>
      <c r="C45" s="884">
        <f t="shared" si="0"/>
        <v>675594.73</v>
      </c>
      <c r="D45" s="884">
        <f t="shared" si="1"/>
        <v>655259.29</v>
      </c>
      <c r="E45" s="1085"/>
      <c r="F45" s="1085"/>
      <c r="G45" s="1085">
        <f t="shared" si="2"/>
        <v>665427</v>
      </c>
      <c r="H45" s="1085"/>
      <c r="I45" s="1085">
        <f t="shared" si="3"/>
        <v>349536.02</v>
      </c>
      <c r="J45" s="1085">
        <f t="shared" si="3"/>
        <v>-15250.4</v>
      </c>
      <c r="K45" s="1085">
        <f t="shared" si="3"/>
        <v>331141.39</v>
      </c>
      <c r="L45" s="1085"/>
      <c r="M45" s="884">
        <v>358993.17</v>
      </c>
      <c r="N45" s="884">
        <v>-15250.4</v>
      </c>
      <c r="O45" s="884">
        <v>331851.96000000002</v>
      </c>
      <c r="P45" s="1085"/>
      <c r="Q45" s="884">
        <v>340078.87</v>
      </c>
      <c r="R45" s="884">
        <v>-15250.4</v>
      </c>
      <c r="S45" s="884">
        <v>330430.82</v>
      </c>
    </row>
    <row r="46" spans="1:19">
      <c r="A46" s="1115">
        <f t="shared" si="4"/>
        <v>2.2999999999999936</v>
      </c>
      <c r="B46" s="884" t="s">
        <v>982</v>
      </c>
      <c r="C46" s="884">
        <f t="shared" si="0"/>
        <v>9050.34</v>
      </c>
      <c r="D46" s="884">
        <f t="shared" si="1"/>
        <v>12372.79</v>
      </c>
      <c r="E46" s="1085"/>
      <c r="F46" s="1085"/>
      <c r="G46" s="1085">
        <f t="shared" si="2"/>
        <v>10712</v>
      </c>
      <c r="H46" s="1085"/>
      <c r="I46" s="1085">
        <f t="shared" si="3"/>
        <v>1657.665</v>
      </c>
      <c r="J46" s="1085">
        <f t="shared" si="3"/>
        <v>0</v>
      </c>
      <c r="K46" s="1085">
        <f t="shared" si="3"/>
        <v>9053.9</v>
      </c>
      <c r="L46" s="1085"/>
      <c r="M46" s="884">
        <v>1874.97</v>
      </c>
      <c r="N46" s="884">
        <v>0</v>
      </c>
      <c r="O46" s="884">
        <v>7175.37</v>
      </c>
      <c r="P46" s="1085"/>
      <c r="Q46" s="884">
        <v>1440.36</v>
      </c>
      <c r="R46" s="884">
        <v>0</v>
      </c>
      <c r="S46" s="884">
        <v>10932.43</v>
      </c>
    </row>
    <row r="47" spans="1:19">
      <c r="A47" s="1115">
        <f t="shared" si="4"/>
        <v>2.3099999999999934</v>
      </c>
      <c r="B47" s="884" t="s">
        <v>1266</v>
      </c>
      <c r="C47" s="884">
        <f t="shared" ref="C47" si="23">SUM(M47:O47)</f>
        <v>0</v>
      </c>
      <c r="D47" s="884">
        <f t="shared" ref="D47" si="24">SUM(Q47:S47)</f>
        <v>-18490.16</v>
      </c>
      <c r="E47" s="1085"/>
      <c r="F47" s="1085"/>
      <c r="G47" s="1085">
        <f t="shared" ref="G47" si="25">ROUND(SUM(C47:F47)/2,0)</f>
        <v>-9245</v>
      </c>
      <c r="H47" s="1085"/>
      <c r="I47" s="1085">
        <f t="shared" ref="I47" si="26">(M47+Q47)/2</f>
        <v>0</v>
      </c>
      <c r="J47" s="1085">
        <f t="shared" ref="J47" si="27">(N47+R47)/2</f>
        <v>0</v>
      </c>
      <c r="K47" s="1085">
        <f t="shared" ref="K47" si="28">(O47+S47)/2</f>
        <v>-9245.08</v>
      </c>
      <c r="L47" s="1085"/>
      <c r="M47" s="884">
        <v>0</v>
      </c>
      <c r="N47" s="884">
        <v>0</v>
      </c>
      <c r="O47" s="884">
        <v>0</v>
      </c>
      <c r="P47" s="1085"/>
      <c r="Q47" s="884">
        <v>0</v>
      </c>
      <c r="R47" s="884">
        <v>0</v>
      </c>
      <c r="S47" s="884">
        <v>-18490.16</v>
      </c>
    </row>
    <row r="48" spans="1:19">
      <c r="A48" s="1115">
        <f t="shared" si="4"/>
        <v>2.3199999999999932</v>
      </c>
      <c r="B48" s="884" t="s">
        <v>983</v>
      </c>
      <c r="C48" s="884">
        <f t="shared" si="0"/>
        <v>104013.03</v>
      </c>
      <c r="D48" s="884">
        <f t="shared" si="1"/>
        <v>12973.84</v>
      </c>
      <c r="E48" s="1085"/>
      <c r="F48" s="1085"/>
      <c r="G48" s="1085">
        <f t="shared" si="2"/>
        <v>58493</v>
      </c>
      <c r="H48" s="1085"/>
      <c r="I48" s="1085">
        <f t="shared" si="3"/>
        <v>52006.559999999998</v>
      </c>
      <c r="J48" s="1085">
        <f t="shared" si="3"/>
        <v>0</v>
      </c>
      <c r="K48" s="1085">
        <f t="shared" si="3"/>
        <v>6486.875</v>
      </c>
      <c r="L48" s="1085"/>
      <c r="M48" s="884">
        <v>104013.12</v>
      </c>
      <c r="N48" s="884">
        <v>0</v>
      </c>
      <c r="O48" s="884">
        <v>-0.09</v>
      </c>
      <c r="P48" s="1085"/>
      <c r="Q48" s="884">
        <v>0</v>
      </c>
      <c r="R48" s="884">
        <v>0</v>
      </c>
      <c r="S48" s="884">
        <v>12973.84</v>
      </c>
    </row>
    <row r="49" spans="1:19">
      <c r="A49" s="1115">
        <f t="shared" si="4"/>
        <v>2.329999999999993</v>
      </c>
      <c r="B49" s="884" t="s">
        <v>984</v>
      </c>
      <c r="C49" s="884">
        <f t="shared" si="0"/>
        <v>0</v>
      </c>
      <c r="D49" s="884">
        <f t="shared" si="1"/>
        <v>-56075.78</v>
      </c>
      <c r="E49" s="1085"/>
      <c r="F49" s="1085"/>
      <c r="G49" s="1085">
        <f t="shared" si="2"/>
        <v>-28038</v>
      </c>
      <c r="H49" s="1085"/>
      <c r="I49" s="1085">
        <f t="shared" si="3"/>
        <v>0</v>
      </c>
      <c r="J49" s="1085">
        <f t="shared" si="3"/>
        <v>0</v>
      </c>
      <c r="K49" s="1085">
        <f t="shared" si="3"/>
        <v>-28037.89</v>
      </c>
      <c r="L49" s="1085"/>
      <c r="M49" s="884">
        <v>0</v>
      </c>
      <c r="N49" s="884">
        <v>0</v>
      </c>
      <c r="O49" s="884">
        <v>0</v>
      </c>
      <c r="P49" s="1085"/>
      <c r="Q49" s="884">
        <v>0</v>
      </c>
      <c r="R49" s="884">
        <v>0</v>
      </c>
      <c r="S49" s="884">
        <v>-56075.78</v>
      </c>
    </row>
    <row r="50" spans="1:19">
      <c r="A50" s="1115">
        <f t="shared" si="4"/>
        <v>2.3399999999999928</v>
      </c>
      <c r="B50" s="884" t="s">
        <v>985</v>
      </c>
      <c r="C50" s="884">
        <f t="shared" si="0"/>
        <v>0</v>
      </c>
      <c r="D50" s="884">
        <f t="shared" si="1"/>
        <v>0</v>
      </c>
      <c r="E50" s="1085"/>
      <c r="F50" s="1085"/>
      <c r="G50" s="1085">
        <f t="shared" si="2"/>
        <v>0</v>
      </c>
      <c r="H50" s="1085"/>
      <c r="I50" s="1085">
        <f t="shared" si="3"/>
        <v>0</v>
      </c>
      <c r="J50" s="1085">
        <f t="shared" si="3"/>
        <v>0</v>
      </c>
      <c r="K50" s="1085">
        <f t="shared" si="3"/>
        <v>0</v>
      </c>
      <c r="L50" s="1085"/>
      <c r="M50" s="884">
        <v>0</v>
      </c>
      <c r="N50" s="884">
        <v>0</v>
      </c>
      <c r="O50" s="884">
        <v>0</v>
      </c>
      <c r="P50" s="1085"/>
      <c r="Q50" s="884">
        <v>0</v>
      </c>
      <c r="R50" s="884">
        <v>0</v>
      </c>
      <c r="S50" s="884">
        <v>0</v>
      </c>
    </row>
    <row r="51" spans="1:19">
      <c r="A51" s="1115">
        <f t="shared" si="4"/>
        <v>2.3499999999999925</v>
      </c>
      <c r="B51" s="884" t="s">
        <v>986</v>
      </c>
      <c r="C51" s="884">
        <f t="shared" si="0"/>
        <v>-4380.91</v>
      </c>
      <c r="D51" s="884">
        <f t="shared" si="1"/>
        <v>-4380.91</v>
      </c>
      <c r="E51" s="1085"/>
      <c r="F51" s="1085"/>
      <c r="G51" s="1085">
        <f t="shared" si="2"/>
        <v>-4381</v>
      </c>
      <c r="H51" s="1085"/>
      <c r="I51" s="1085">
        <f t="shared" si="3"/>
        <v>-4380.91</v>
      </c>
      <c r="J51" s="1085">
        <f t="shared" si="3"/>
        <v>0</v>
      </c>
      <c r="K51" s="1085">
        <f t="shared" si="3"/>
        <v>0</v>
      </c>
      <c r="L51" s="1085"/>
      <c r="M51" s="884">
        <v>-4380.91</v>
      </c>
      <c r="N51" s="884">
        <v>0</v>
      </c>
      <c r="O51" s="884">
        <v>0</v>
      </c>
      <c r="P51" s="1085"/>
      <c r="Q51" s="884">
        <v>-4380.91</v>
      </c>
      <c r="R51" s="884">
        <v>0</v>
      </c>
      <c r="S51" s="884">
        <v>0</v>
      </c>
    </row>
    <row r="52" spans="1:19">
      <c r="A52" s="1115">
        <f t="shared" si="4"/>
        <v>2.3599999999999923</v>
      </c>
      <c r="B52" s="884" t="s">
        <v>987</v>
      </c>
      <c r="C52" s="884">
        <f t="shared" si="0"/>
        <v>-24677.4</v>
      </c>
      <c r="D52" s="884">
        <f t="shared" si="1"/>
        <v>-24677.4</v>
      </c>
      <c r="E52" s="1085"/>
      <c r="F52" s="1085"/>
      <c r="G52" s="1085">
        <f t="shared" si="2"/>
        <v>-24677</v>
      </c>
      <c r="H52" s="1085"/>
      <c r="I52" s="1085">
        <f t="shared" si="3"/>
        <v>-9240.0300000000007</v>
      </c>
      <c r="J52" s="1085">
        <f t="shared" si="3"/>
        <v>-6197.34</v>
      </c>
      <c r="K52" s="1085">
        <f t="shared" si="3"/>
        <v>-9240.0300000000007</v>
      </c>
      <c r="L52" s="1085"/>
      <c r="M52" s="884">
        <v>-9240.0300000000007</v>
      </c>
      <c r="N52" s="884">
        <v>-6197.34</v>
      </c>
      <c r="O52" s="884">
        <v>-9240.0300000000007</v>
      </c>
      <c r="P52" s="1085"/>
      <c r="Q52" s="884">
        <v>-9240.0300000000007</v>
      </c>
      <c r="R52" s="884">
        <v>-6197.34</v>
      </c>
      <c r="S52" s="884">
        <v>-9240.0300000000007</v>
      </c>
    </row>
    <row r="53" spans="1:19">
      <c r="A53" s="1115">
        <f t="shared" si="4"/>
        <v>2.3699999999999921</v>
      </c>
      <c r="B53" s="884" t="s">
        <v>988</v>
      </c>
      <c r="C53" s="884">
        <f t="shared" si="0"/>
        <v>0</v>
      </c>
      <c r="D53" s="884">
        <f t="shared" si="1"/>
        <v>0</v>
      </c>
      <c r="E53" s="1085"/>
      <c r="F53" s="1085"/>
      <c r="G53" s="1085">
        <f t="shared" si="2"/>
        <v>0</v>
      </c>
      <c r="H53" s="1085"/>
      <c r="I53" s="1085">
        <f t="shared" ref="I53:K87" si="29">(M53+Q53)/2</f>
        <v>0</v>
      </c>
      <c r="J53" s="1085">
        <f t="shared" si="29"/>
        <v>0</v>
      </c>
      <c r="K53" s="1085">
        <f t="shared" si="29"/>
        <v>0</v>
      </c>
      <c r="L53" s="1085"/>
      <c r="M53" s="884">
        <v>0</v>
      </c>
      <c r="N53" s="884">
        <v>0</v>
      </c>
      <c r="O53" s="884">
        <v>0</v>
      </c>
      <c r="P53" s="1085"/>
      <c r="Q53" s="884">
        <v>0</v>
      </c>
      <c r="R53" s="884">
        <v>0</v>
      </c>
      <c r="S53" s="884">
        <v>0</v>
      </c>
    </row>
    <row r="54" spans="1:19">
      <c r="A54" s="1115">
        <f t="shared" si="4"/>
        <v>2.3799999999999919</v>
      </c>
      <c r="B54" s="884" t="s">
        <v>989</v>
      </c>
      <c r="C54" s="884">
        <f t="shared" si="0"/>
        <v>-603352.47</v>
      </c>
      <c r="D54" s="884">
        <f t="shared" si="1"/>
        <v>-603352.46</v>
      </c>
      <c r="E54" s="1085"/>
      <c r="F54" s="1085"/>
      <c r="G54" s="1085">
        <f t="shared" si="2"/>
        <v>-603352</v>
      </c>
      <c r="H54" s="1085"/>
      <c r="I54" s="1085">
        <f t="shared" si="29"/>
        <v>-686575.71</v>
      </c>
      <c r="J54" s="1085">
        <f t="shared" si="29"/>
        <v>294177.30499999999</v>
      </c>
      <c r="K54" s="1085">
        <f t="shared" si="29"/>
        <v>-210954.06</v>
      </c>
      <c r="L54" s="1085"/>
      <c r="M54" s="884">
        <v>-686575.71</v>
      </c>
      <c r="N54" s="884">
        <v>294177.3</v>
      </c>
      <c r="O54" s="884">
        <v>-210954.06</v>
      </c>
      <c r="P54" s="1085"/>
      <c r="Q54" s="884">
        <v>-686575.71</v>
      </c>
      <c r="R54" s="884">
        <v>294177.31</v>
      </c>
      <c r="S54" s="884">
        <v>-210954.06</v>
      </c>
    </row>
    <row r="55" spans="1:19">
      <c r="A55" s="1115">
        <f t="shared" si="4"/>
        <v>2.3899999999999917</v>
      </c>
      <c r="B55" s="884" t="s">
        <v>990</v>
      </c>
      <c r="C55" s="884">
        <f t="shared" si="0"/>
        <v>76323.600000000006</v>
      </c>
      <c r="D55" s="884">
        <f t="shared" si="1"/>
        <v>76323.600000000006</v>
      </c>
      <c r="E55" s="1085"/>
      <c r="F55" s="1085"/>
      <c r="G55" s="1085">
        <f t="shared" si="2"/>
        <v>76324</v>
      </c>
      <c r="H55" s="1085"/>
      <c r="I55" s="1085">
        <f t="shared" si="29"/>
        <v>76323.600000000006</v>
      </c>
      <c r="J55" s="1085">
        <f t="shared" si="29"/>
        <v>0</v>
      </c>
      <c r="K55" s="1085">
        <f t="shared" si="29"/>
        <v>0</v>
      </c>
      <c r="L55" s="1085"/>
      <c r="M55" s="884">
        <v>76323.600000000006</v>
      </c>
      <c r="N55" s="884">
        <v>0</v>
      </c>
      <c r="O55" s="884">
        <v>0</v>
      </c>
      <c r="P55" s="1085"/>
      <c r="Q55" s="884">
        <v>76323.600000000006</v>
      </c>
      <c r="R55" s="884">
        <v>0</v>
      </c>
      <c r="S55" s="884">
        <v>0</v>
      </c>
    </row>
    <row r="56" spans="1:19">
      <c r="A56" s="1115">
        <f t="shared" si="4"/>
        <v>2.3999999999999915</v>
      </c>
      <c r="B56" s="884" t="s">
        <v>991</v>
      </c>
      <c r="C56" s="884">
        <f t="shared" si="0"/>
        <v>133732.49</v>
      </c>
      <c r="D56" s="884">
        <f t="shared" si="1"/>
        <v>120484.23</v>
      </c>
      <c r="E56" s="1085"/>
      <c r="F56" s="1085"/>
      <c r="G56" s="1085">
        <f t="shared" si="2"/>
        <v>127108</v>
      </c>
      <c r="H56" s="1085"/>
      <c r="I56" s="1085">
        <f t="shared" si="29"/>
        <v>127108.35999999999</v>
      </c>
      <c r="J56" s="1085">
        <f t="shared" si="29"/>
        <v>0</v>
      </c>
      <c r="K56" s="1085">
        <f t="shared" si="29"/>
        <v>0</v>
      </c>
      <c r="L56" s="1085"/>
      <c r="M56" s="884">
        <v>133732.49</v>
      </c>
      <c r="N56" s="884">
        <v>0</v>
      </c>
      <c r="O56" s="884">
        <v>0</v>
      </c>
      <c r="P56" s="1085"/>
      <c r="Q56" s="884">
        <v>120484.23</v>
      </c>
      <c r="R56" s="884">
        <v>0</v>
      </c>
      <c r="S56" s="884">
        <v>0</v>
      </c>
    </row>
    <row r="57" spans="1:19">
      <c r="A57" s="1115">
        <f t="shared" si="4"/>
        <v>2.4099999999999913</v>
      </c>
      <c r="B57" s="884" t="s">
        <v>992</v>
      </c>
      <c r="C57" s="884">
        <f t="shared" si="0"/>
        <v>7.0000000000000007E-2</v>
      </c>
      <c r="D57" s="884">
        <f t="shared" si="1"/>
        <v>7.0000000000000007E-2</v>
      </c>
      <c r="E57" s="1085"/>
      <c r="F57" s="1085"/>
      <c r="G57" s="1085">
        <f t="shared" si="2"/>
        <v>0</v>
      </c>
      <c r="H57" s="1085"/>
      <c r="I57" s="1085">
        <f t="shared" si="29"/>
        <v>7.0000000000000007E-2</v>
      </c>
      <c r="J57" s="1085">
        <f t="shared" si="29"/>
        <v>0</v>
      </c>
      <c r="K57" s="1085">
        <f t="shared" si="29"/>
        <v>0</v>
      </c>
      <c r="L57" s="1085"/>
      <c r="M57" s="884">
        <v>7.0000000000000007E-2</v>
      </c>
      <c r="N57" s="884">
        <v>0</v>
      </c>
      <c r="O57" s="884">
        <v>0</v>
      </c>
      <c r="P57" s="1085"/>
      <c r="Q57" s="884">
        <v>7.0000000000000007E-2</v>
      </c>
      <c r="R57" s="884">
        <v>0</v>
      </c>
      <c r="S57" s="884">
        <v>0</v>
      </c>
    </row>
    <row r="58" spans="1:19">
      <c r="A58" s="1115">
        <f t="shared" si="4"/>
        <v>2.419999999999991</v>
      </c>
      <c r="B58" s="884" t="s">
        <v>1262</v>
      </c>
      <c r="C58" s="884">
        <f t="shared" ref="C58:C59" si="30">SUM(M58:O58)</f>
        <v>0</v>
      </c>
      <c r="D58" s="884">
        <f t="shared" ref="D58:D59" si="31">SUM(Q58:S58)</f>
        <v>349902.9</v>
      </c>
      <c r="E58" s="1085"/>
      <c r="F58" s="1085"/>
      <c r="G58" s="1085">
        <f t="shared" ref="G58:G59" si="32">ROUND(SUM(C58:F58)/2,0)</f>
        <v>174951</v>
      </c>
      <c r="H58" s="1085"/>
      <c r="I58" s="1085">
        <f t="shared" ref="I58:I59" si="33">(M58+Q58)/2</f>
        <v>85725.03</v>
      </c>
      <c r="J58" s="1085">
        <f t="shared" ref="J58:J59" si="34">(N58+R58)/2</f>
        <v>0</v>
      </c>
      <c r="K58" s="1085">
        <f t="shared" ref="K58:K59" si="35">(O58+S58)/2</f>
        <v>89226.42</v>
      </c>
      <c r="L58" s="1085"/>
      <c r="M58" s="884">
        <v>0</v>
      </c>
      <c r="N58" s="884">
        <v>0</v>
      </c>
      <c r="O58" s="884">
        <v>0</v>
      </c>
      <c r="P58" s="1085"/>
      <c r="Q58" s="884">
        <v>171450.06</v>
      </c>
      <c r="R58" s="884">
        <v>0</v>
      </c>
      <c r="S58" s="884">
        <v>178452.84</v>
      </c>
    </row>
    <row r="59" spans="1:19">
      <c r="A59" s="1115">
        <f t="shared" si="4"/>
        <v>2.4299999999999908</v>
      </c>
      <c r="B59" s="884" t="s">
        <v>1263</v>
      </c>
      <c r="C59" s="884">
        <f t="shared" si="30"/>
        <v>0</v>
      </c>
      <c r="D59" s="884">
        <f t="shared" si="31"/>
        <v>-29826.62</v>
      </c>
      <c r="E59" s="1085"/>
      <c r="F59" s="1085"/>
      <c r="G59" s="1085">
        <f t="shared" si="32"/>
        <v>-14913</v>
      </c>
      <c r="H59" s="1085"/>
      <c r="I59" s="1085">
        <f t="shared" si="33"/>
        <v>-14677.06</v>
      </c>
      <c r="J59" s="1085">
        <f t="shared" si="34"/>
        <v>-236.25</v>
      </c>
      <c r="K59" s="1085">
        <f t="shared" si="35"/>
        <v>0</v>
      </c>
      <c r="L59" s="1085"/>
      <c r="M59" s="884">
        <v>0</v>
      </c>
      <c r="N59" s="884">
        <v>0</v>
      </c>
      <c r="O59" s="884">
        <v>0</v>
      </c>
      <c r="P59" s="1085"/>
      <c r="Q59" s="884">
        <v>-29354.12</v>
      </c>
      <c r="R59" s="884">
        <v>-472.5</v>
      </c>
      <c r="S59" s="884">
        <v>0</v>
      </c>
    </row>
    <row r="60" spans="1:19">
      <c r="A60" s="1115">
        <f t="shared" si="4"/>
        <v>2.4399999999999906</v>
      </c>
      <c r="B60" s="884" t="s">
        <v>993</v>
      </c>
      <c r="C60" s="884">
        <f t="shared" si="0"/>
        <v>-1322930.95</v>
      </c>
      <c r="D60" s="884">
        <f t="shared" si="1"/>
        <v>-888953.59</v>
      </c>
      <c r="E60" s="1085"/>
      <c r="F60" s="1085"/>
      <c r="G60" s="1085">
        <f t="shared" si="2"/>
        <v>-1105942</v>
      </c>
      <c r="H60" s="1085"/>
      <c r="I60" s="1085">
        <f t="shared" si="29"/>
        <v>0</v>
      </c>
      <c r="J60" s="1085">
        <f t="shared" si="29"/>
        <v>0</v>
      </c>
      <c r="K60" s="1085">
        <f t="shared" si="29"/>
        <v>-1105942.27</v>
      </c>
      <c r="L60" s="1085"/>
      <c r="M60" s="884">
        <v>0</v>
      </c>
      <c r="N60" s="884">
        <v>0</v>
      </c>
      <c r="O60" s="884">
        <v>-1322930.95</v>
      </c>
      <c r="P60" s="1085"/>
      <c r="Q60" s="884">
        <v>0</v>
      </c>
      <c r="R60" s="884">
        <v>0</v>
      </c>
      <c r="S60" s="884">
        <v>-888953.59</v>
      </c>
    </row>
    <row r="61" spans="1:19">
      <c r="A61" s="1115">
        <f t="shared" si="4"/>
        <v>2.4499999999999904</v>
      </c>
      <c r="B61" s="884" t="s">
        <v>994</v>
      </c>
      <c r="C61" s="884">
        <f t="shared" si="0"/>
        <v>67110.600000000006</v>
      </c>
      <c r="D61" s="884">
        <f t="shared" si="1"/>
        <v>67110.600000000006</v>
      </c>
      <c r="E61" s="1085"/>
      <c r="F61" s="1085"/>
      <c r="G61" s="1085">
        <f t="shared" si="2"/>
        <v>67111</v>
      </c>
      <c r="H61" s="1085"/>
      <c r="I61" s="1085">
        <f t="shared" si="29"/>
        <v>67110.600000000006</v>
      </c>
      <c r="J61" s="1085">
        <f t="shared" si="29"/>
        <v>0</v>
      </c>
      <c r="K61" s="1085">
        <f t="shared" si="29"/>
        <v>0</v>
      </c>
      <c r="L61" s="1085"/>
      <c r="M61" s="884">
        <v>67110.600000000006</v>
      </c>
      <c r="N61" s="884">
        <v>0</v>
      </c>
      <c r="O61" s="884">
        <v>0</v>
      </c>
      <c r="P61" s="1085"/>
      <c r="Q61" s="884">
        <v>67110.600000000006</v>
      </c>
      <c r="R61" s="884">
        <v>0</v>
      </c>
      <c r="S61" s="884">
        <v>0</v>
      </c>
    </row>
    <row r="62" spans="1:19">
      <c r="A62" s="1115">
        <f t="shared" si="4"/>
        <v>2.4599999999999902</v>
      </c>
      <c r="B62" s="884" t="s">
        <v>995</v>
      </c>
      <c r="C62" s="884">
        <f t="shared" si="0"/>
        <v>4651.2</v>
      </c>
      <c r="D62" s="884">
        <f t="shared" si="1"/>
        <v>4651.2</v>
      </c>
      <c r="E62" s="1085"/>
      <c r="F62" s="1085"/>
      <c r="G62" s="1085">
        <f t="shared" si="2"/>
        <v>4651</v>
      </c>
      <c r="H62" s="1085"/>
      <c r="I62" s="1085">
        <f t="shared" si="29"/>
        <v>4651.2</v>
      </c>
      <c r="J62" s="1085">
        <f t="shared" si="29"/>
        <v>0</v>
      </c>
      <c r="K62" s="1085">
        <f t="shared" si="29"/>
        <v>0</v>
      </c>
      <c r="L62" s="1085"/>
      <c r="M62" s="884">
        <v>4651.2</v>
      </c>
      <c r="N62" s="884">
        <v>0</v>
      </c>
      <c r="O62" s="884">
        <v>0</v>
      </c>
      <c r="P62" s="1085"/>
      <c r="Q62" s="884">
        <v>4651.2</v>
      </c>
      <c r="R62" s="884">
        <v>0</v>
      </c>
      <c r="S62" s="884">
        <v>0</v>
      </c>
    </row>
    <row r="63" spans="1:19">
      <c r="A63" s="1115">
        <f t="shared" si="4"/>
        <v>2.46999999999999</v>
      </c>
      <c r="B63" s="884" t="s">
        <v>996</v>
      </c>
      <c r="C63" s="884">
        <f t="shared" si="0"/>
        <v>4781.16</v>
      </c>
      <c r="D63" s="884">
        <f t="shared" si="1"/>
        <v>4781.16</v>
      </c>
      <c r="E63" s="1085"/>
      <c r="F63" s="1085"/>
      <c r="G63" s="1085">
        <f t="shared" si="2"/>
        <v>4781</v>
      </c>
      <c r="H63" s="1085"/>
      <c r="I63" s="1085">
        <f t="shared" si="29"/>
        <v>4781.16</v>
      </c>
      <c r="J63" s="1085">
        <f t="shared" si="29"/>
        <v>0</v>
      </c>
      <c r="K63" s="1085">
        <f t="shared" si="29"/>
        <v>0</v>
      </c>
      <c r="L63" s="1085"/>
      <c r="M63" s="884">
        <v>4781.16</v>
      </c>
      <c r="N63" s="884">
        <v>0</v>
      </c>
      <c r="O63" s="884">
        <v>0</v>
      </c>
      <c r="P63" s="1085"/>
      <c r="Q63" s="884">
        <v>4781.16</v>
      </c>
      <c r="R63" s="884">
        <v>0</v>
      </c>
      <c r="S63" s="884">
        <v>0</v>
      </c>
    </row>
    <row r="64" spans="1:19">
      <c r="A64" s="1115">
        <f t="shared" si="4"/>
        <v>2.4799999999999898</v>
      </c>
      <c r="B64" s="884" t="s">
        <v>997</v>
      </c>
      <c r="C64" s="884">
        <f t="shared" si="0"/>
        <v>15538.77</v>
      </c>
      <c r="D64" s="884">
        <f t="shared" si="1"/>
        <v>10757.62</v>
      </c>
      <c r="E64" s="1085"/>
      <c r="F64" s="1085"/>
      <c r="G64" s="1085">
        <f t="shared" si="2"/>
        <v>13148</v>
      </c>
      <c r="H64" s="1085"/>
      <c r="I64" s="1085">
        <f t="shared" si="29"/>
        <v>13148.195</v>
      </c>
      <c r="J64" s="1085">
        <f t="shared" si="29"/>
        <v>0</v>
      </c>
      <c r="K64" s="1085">
        <f t="shared" si="29"/>
        <v>0</v>
      </c>
      <c r="L64" s="1085"/>
      <c r="M64" s="884">
        <v>15538.77</v>
      </c>
      <c r="N64" s="884">
        <v>0</v>
      </c>
      <c r="O64" s="884">
        <v>0</v>
      </c>
      <c r="P64" s="1085"/>
      <c r="Q64" s="884">
        <v>10757.62</v>
      </c>
      <c r="R64" s="884">
        <v>0</v>
      </c>
      <c r="S64" s="884">
        <v>0</v>
      </c>
    </row>
    <row r="65" spans="1:19">
      <c r="A65" s="1115">
        <f t="shared" si="4"/>
        <v>2.4899999999999896</v>
      </c>
      <c r="B65" s="884" t="s">
        <v>998</v>
      </c>
      <c r="C65" s="884">
        <f t="shared" si="0"/>
        <v>0</v>
      </c>
      <c r="D65" s="884">
        <f t="shared" si="1"/>
        <v>0</v>
      </c>
      <c r="E65" s="1085"/>
      <c r="F65" s="1085"/>
      <c r="G65" s="1085">
        <f t="shared" si="2"/>
        <v>0</v>
      </c>
      <c r="H65" s="1085"/>
      <c r="I65" s="1085">
        <f t="shared" si="29"/>
        <v>0</v>
      </c>
      <c r="J65" s="1085">
        <f t="shared" si="29"/>
        <v>0</v>
      </c>
      <c r="K65" s="1085">
        <f t="shared" si="29"/>
        <v>0</v>
      </c>
      <c r="L65" s="1085"/>
      <c r="M65" s="884">
        <v>0</v>
      </c>
      <c r="N65" s="884">
        <v>0</v>
      </c>
      <c r="O65" s="884">
        <v>0</v>
      </c>
      <c r="P65" s="1085"/>
      <c r="Q65" s="884">
        <v>0</v>
      </c>
      <c r="R65" s="884">
        <v>0</v>
      </c>
      <c r="S65" s="884">
        <v>0</v>
      </c>
    </row>
    <row r="66" spans="1:19">
      <c r="A66" s="1115">
        <f t="shared" si="4"/>
        <v>2.4999999999999893</v>
      </c>
      <c r="B66" s="884" t="s">
        <v>999</v>
      </c>
      <c r="C66" s="884">
        <f t="shared" si="0"/>
        <v>-289513.52</v>
      </c>
      <c r="D66" s="884">
        <f t="shared" si="1"/>
        <v>-346208.29</v>
      </c>
      <c r="E66" s="1085"/>
      <c r="F66" s="1085"/>
      <c r="G66" s="1085">
        <f t="shared" si="2"/>
        <v>-317861</v>
      </c>
      <c r="H66" s="1085"/>
      <c r="I66" s="1085">
        <f t="shared" si="29"/>
        <v>-317860.90500000003</v>
      </c>
      <c r="J66" s="1085">
        <f t="shared" si="29"/>
        <v>0</v>
      </c>
      <c r="K66" s="1085">
        <f t="shared" si="29"/>
        <v>0</v>
      </c>
      <c r="L66" s="1085"/>
      <c r="M66" s="884">
        <v>-289513.52</v>
      </c>
      <c r="N66" s="884">
        <v>0</v>
      </c>
      <c r="O66" s="884">
        <v>0</v>
      </c>
      <c r="P66" s="1085"/>
      <c r="Q66" s="884">
        <v>-346208.29</v>
      </c>
      <c r="R66" s="884">
        <v>0</v>
      </c>
      <c r="S66" s="884">
        <v>0</v>
      </c>
    </row>
    <row r="67" spans="1:19">
      <c r="A67" s="1115">
        <f t="shared" si="4"/>
        <v>2.5099999999999891</v>
      </c>
      <c r="B67" s="884" t="s">
        <v>1000</v>
      </c>
      <c r="C67" s="884">
        <f t="shared" si="0"/>
        <v>4684.04</v>
      </c>
      <c r="D67" s="884">
        <f t="shared" si="1"/>
        <v>1739.28</v>
      </c>
      <c r="E67" s="1085"/>
      <c r="F67" s="1085"/>
      <c r="G67" s="1085">
        <f t="shared" si="2"/>
        <v>3212</v>
      </c>
      <c r="H67" s="1085"/>
      <c r="I67" s="1085">
        <f t="shared" si="29"/>
        <v>0</v>
      </c>
      <c r="J67" s="1085">
        <f t="shared" si="29"/>
        <v>3211.66</v>
      </c>
      <c r="K67" s="1085">
        <f t="shared" si="29"/>
        <v>0</v>
      </c>
      <c r="L67" s="1085"/>
      <c r="M67" s="884">
        <v>0</v>
      </c>
      <c r="N67" s="884">
        <v>4684.04</v>
      </c>
      <c r="O67" s="884">
        <v>0</v>
      </c>
      <c r="P67" s="1085"/>
      <c r="Q67" s="884">
        <v>0</v>
      </c>
      <c r="R67" s="884">
        <v>1739.28</v>
      </c>
      <c r="S67" s="884">
        <v>0</v>
      </c>
    </row>
    <row r="68" spans="1:19">
      <c r="A68" s="1115">
        <f t="shared" si="4"/>
        <v>2.5199999999999889</v>
      </c>
      <c r="B68" s="884" t="s">
        <v>1001</v>
      </c>
      <c r="C68" s="884">
        <f t="shared" si="0"/>
        <v>29352.87</v>
      </c>
      <c r="D68" s="884">
        <f t="shared" si="1"/>
        <v>30007.51</v>
      </c>
      <c r="E68" s="1085"/>
      <c r="F68" s="1085"/>
      <c r="G68" s="1085">
        <f t="shared" si="2"/>
        <v>29680</v>
      </c>
      <c r="H68" s="1085"/>
      <c r="I68" s="1085">
        <f t="shared" si="29"/>
        <v>0</v>
      </c>
      <c r="J68" s="1085">
        <f t="shared" si="29"/>
        <v>0</v>
      </c>
      <c r="K68" s="1085">
        <f t="shared" si="29"/>
        <v>29680.19</v>
      </c>
      <c r="L68" s="1085"/>
      <c r="M68" s="884">
        <v>0</v>
      </c>
      <c r="N68" s="884">
        <v>0</v>
      </c>
      <c r="O68" s="884">
        <v>29352.87</v>
      </c>
      <c r="P68" s="1085"/>
      <c r="Q68" s="884">
        <v>0</v>
      </c>
      <c r="R68" s="884">
        <v>0</v>
      </c>
      <c r="S68" s="884">
        <v>30007.51</v>
      </c>
    </row>
    <row r="69" spans="1:19">
      <c r="A69" s="1115">
        <f t="shared" si="4"/>
        <v>2.5299999999999887</v>
      </c>
      <c r="B69" s="884" t="s">
        <v>1002</v>
      </c>
      <c r="C69" s="884">
        <f t="shared" si="0"/>
        <v>-0.14000000000000001</v>
      </c>
      <c r="D69" s="884">
        <f t="shared" si="1"/>
        <v>-0.14000000000000001</v>
      </c>
      <c r="E69" s="1085"/>
      <c r="F69" s="1085"/>
      <c r="G69" s="1085">
        <f t="shared" si="2"/>
        <v>0</v>
      </c>
      <c r="H69" s="1085"/>
      <c r="I69" s="1085">
        <f t="shared" si="29"/>
        <v>-0.14000000000000001</v>
      </c>
      <c r="J69" s="1085">
        <f t="shared" si="29"/>
        <v>0</v>
      </c>
      <c r="K69" s="1085">
        <f t="shared" si="29"/>
        <v>0</v>
      </c>
      <c r="L69" s="1085"/>
      <c r="M69" s="884">
        <v>-0.14000000000000001</v>
      </c>
      <c r="N69" s="884">
        <v>0</v>
      </c>
      <c r="O69" s="884">
        <v>0</v>
      </c>
      <c r="P69" s="1085"/>
      <c r="Q69" s="884">
        <v>-0.14000000000000001</v>
      </c>
      <c r="R69" s="884">
        <v>0</v>
      </c>
      <c r="S69" s="884">
        <v>0</v>
      </c>
    </row>
    <row r="70" spans="1:19">
      <c r="A70" s="1115">
        <f t="shared" si="4"/>
        <v>2.5399999999999885</v>
      </c>
      <c r="B70" s="884" t="s">
        <v>1003</v>
      </c>
      <c r="C70" s="884">
        <f t="shared" si="0"/>
        <v>-37693.230000000003</v>
      </c>
      <c r="D70" s="884">
        <f t="shared" si="1"/>
        <v>-16478.61</v>
      </c>
      <c r="E70" s="1085"/>
      <c r="F70" s="1085"/>
      <c r="G70" s="1085">
        <f t="shared" si="2"/>
        <v>-27086</v>
      </c>
      <c r="H70" s="1085"/>
      <c r="I70" s="1085">
        <f t="shared" si="29"/>
        <v>238.965</v>
      </c>
      <c r="J70" s="1085">
        <f t="shared" si="29"/>
        <v>3.9</v>
      </c>
      <c r="K70" s="1085">
        <f t="shared" si="29"/>
        <v>-27328.785000000003</v>
      </c>
      <c r="L70" s="1085"/>
      <c r="M70" s="884">
        <v>117.06</v>
      </c>
      <c r="N70" s="884">
        <v>0.12</v>
      </c>
      <c r="O70" s="884">
        <v>-37810.410000000003</v>
      </c>
      <c r="P70" s="1085"/>
      <c r="Q70" s="884">
        <v>360.87</v>
      </c>
      <c r="R70" s="884">
        <v>7.68</v>
      </c>
      <c r="S70" s="884">
        <v>-16847.16</v>
      </c>
    </row>
    <row r="71" spans="1:19">
      <c r="A71" s="1115">
        <f t="shared" si="4"/>
        <v>2.5499999999999883</v>
      </c>
      <c r="B71" s="884" t="s">
        <v>1004</v>
      </c>
      <c r="C71" s="884">
        <f t="shared" si="0"/>
        <v>-3078043.85</v>
      </c>
      <c r="D71" s="884">
        <f t="shared" si="1"/>
        <v>-3774581.76</v>
      </c>
      <c r="E71" s="1085"/>
      <c r="F71" s="1085"/>
      <c r="G71" s="1085">
        <f t="shared" si="2"/>
        <v>-3426313</v>
      </c>
      <c r="H71" s="1085"/>
      <c r="I71" s="1085">
        <f t="shared" si="29"/>
        <v>-1661245.7549999999</v>
      </c>
      <c r="J71" s="1085">
        <f t="shared" si="29"/>
        <v>-300696.82500000001</v>
      </c>
      <c r="K71" s="1085">
        <f t="shared" si="29"/>
        <v>-1464370.2250000001</v>
      </c>
      <c r="L71" s="1085"/>
      <c r="M71" s="884">
        <v>-1453501.85</v>
      </c>
      <c r="N71" s="884">
        <v>-276204.94</v>
      </c>
      <c r="O71" s="884">
        <v>-1348337.06</v>
      </c>
      <c r="P71" s="1085"/>
      <c r="Q71" s="884">
        <v>-1868989.66</v>
      </c>
      <c r="R71" s="884">
        <v>-325188.71000000002</v>
      </c>
      <c r="S71" s="884">
        <v>-1580403.39</v>
      </c>
    </row>
    <row r="72" spans="1:19">
      <c r="A72" s="1115">
        <f t="shared" si="4"/>
        <v>2.5599999999999881</v>
      </c>
      <c r="B72" s="884" t="s">
        <v>1005</v>
      </c>
      <c r="C72" s="884">
        <f t="shared" si="0"/>
        <v>145147.62</v>
      </c>
      <c r="D72" s="884">
        <f t="shared" si="1"/>
        <v>145147.62</v>
      </c>
      <c r="E72" s="1085"/>
      <c r="F72" s="1085"/>
      <c r="G72" s="1085">
        <f t="shared" si="2"/>
        <v>145148</v>
      </c>
      <c r="H72" s="1085"/>
      <c r="I72" s="1085">
        <f t="shared" si="29"/>
        <v>-538023.12</v>
      </c>
      <c r="J72" s="1085">
        <f t="shared" si="29"/>
        <v>66377.850000000006</v>
      </c>
      <c r="K72" s="1085">
        <f t="shared" si="29"/>
        <v>616792.89</v>
      </c>
      <c r="L72" s="1085"/>
      <c r="M72" s="884">
        <v>-538023.12</v>
      </c>
      <c r="N72" s="884">
        <v>66377.850000000006</v>
      </c>
      <c r="O72" s="884">
        <v>616792.89</v>
      </c>
      <c r="P72" s="1085"/>
      <c r="Q72" s="884">
        <v>-538023.12</v>
      </c>
      <c r="R72" s="884">
        <v>66377.850000000006</v>
      </c>
      <c r="S72" s="884">
        <v>616792.89</v>
      </c>
    </row>
    <row r="73" spans="1:19">
      <c r="A73" s="1115">
        <f t="shared" si="4"/>
        <v>2.5699999999999878</v>
      </c>
      <c r="B73" s="884" t="s">
        <v>1006</v>
      </c>
      <c r="C73" s="884">
        <f t="shared" si="0"/>
        <v>-793058.72000000009</v>
      </c>
      <c r="D73" s="884">
        <f t="shared" si="1"/>
        <v>-1514620.19</v>
      </c>
      <c r="E73" s="1085"/>
      <c r="F73" s="1085"/>
      <c r="G73" s="1085">
        <f t="shared" si="2"/>
        <v>-1153839</v>
      </c>
      <c r="H73" s="1085"/>
      <c r="I73" s="1085">
        <f t="shared" si="29"/>
        <v>-1230137.6000000001</v>
      </c>
      <c r="J73" s="1085">
        <f t="shared" si="29"/>
        <v>215444.66999999998</v>
      </c>
      <c r="K73" s="1085">
        <f t="shared" si="29"/>
        <v>-139146.52499999999</v>
      </c>
      <c r="L73" s="1085"/>
      <c r="M73" s="884">
        <v>-979187.81</v>
      </c>
      <c r="N73" s="884">
        <v>203598.36</v>
      </c>
      <c r="O73" s="884">
        <v>-17469.27</v>
      </c>
      <c r="P73" s="1085"/>
      <c r="Q73" s="884">
        <v>-1481087.39</v>
      </c>
      <c r="R73" s="884">
        <v>227290.98</v>
      </c>
      <c r="S73" s="884">
        <v>-260823.78</v>
      </c>
    </row>
    <row r="74" spans="1:19">
      <c r="A74" s="1115">
        <f t="shared" si="4"/>
        <v>2.5799999999999876</v>
      </c>
      <c r="B74" s="884" t="s">
        <v>1007</v>
      </c>
      <c r="C74" s="884">
        <f t="shared" si="0"/>
        <v>1039083.1799999999</v>
      </c>
      <c r="D74" s="884">
        <f t="shared" si="1"/>
        <v>1070850.51</v>
      </c>
      <c r="E74" s="1085"/>
      <c r="F74" s="1085"/>
      <c r="G74" s="1085">
        <f t="shared" si="2"/>
        <v>1054967</v>
      </c>
      <c r="H74" s="1085"/>
      <c r="I74" s="1085">
        <f t="shared" si="29"/>
        <v>514016.15500000003</v>
      </c>
      <c r="J74" s="1085">
        <f t="shared" si="29"/>
        <v>-0.03</v>
      </c>
      <c r="K74" s="1085">
        <f t="shared" si="29"/>
        <v>540950.72</v>
      </c>
      <c r="L74" s="1085"/>
      <c r="M74" s="884">
        <v>534787.78</v>
      </c>
      <c r="N74" s="884">
        <v>-0.03</v>
      </c>
      <c r="O74" s="884">
        <v>504295.43</v>
      </c>
      <c r="P74" s="1085"/>
      <c r="Q74" s="884">
        <v>493244.53</v>
      </c>
      <c r="R74" s="884">
        <v>-0.03</v>
      </c>
      <c r="S74" s="884">
        <v>577606.01</v>
      </c>
    </row>
    <row r="75" spans="1:19">
      <c r="A75" s="1115">
        <f t="shared" si="4"/>
        <v>2.5899999999999874</v>
      </c>
      <c r="B75" s="884" t="s">
        <v>1008</v>
      </c>
      <c r="C75" s="884">
        <f t="shared" si="0"/>
        <v>9165188.4199999999</v>
      </c>
      <c r="D75" s="884">
        <f t="shared" si="1"/>
        <v>5170552.1499999994</v>
      </c>
      <c r="E75" s="1090"/>
      <c r="F75" s="1090"/>
      <c r="G75" s="1090">
        <f t="shared" si="2"/>
        <v>7167870</v>
      </c>
      <c r="H75" s="1090"/>
      <c r="I75" s="1090">
        <f t="shared" si="29"/>
        <v>7129106.3999999994</v>
      </c>
      <c r="J75" s="1090">
        <f t="shared" si="29"/>
        <v>0</v>
      </c>
      <c r="K75" s="1090">
        <f t="shared" si="29"/>
        <v>38763.885000000002</v>
      </c>
      <c r="L75" s="1090"/>
      <c r="M75" s="884">
        <v>9135365.6999999993</v>
      </c>
      <c r="N75" s="884">
        <v>0</v>
      </c>
      <c r="O75" s="884">
        <v>29822.720000000001</v>
      </c>
      <c r="P75" s="1090"/>
      <c r="Q75" s="884">
        <v>5122847.0999999996</v>
      </c>
      <c r="R75" s="884">
        <v>0</v>
      </c>
      <c r="S75" s="884">
        <v>47705.05</v>
      </c>
    </row>
    <row r="76" spans="1:19">
      <c r="A76" s="1115">
        <f t="shared" si="4"/>
        <v>2.5999999999999872</v>
      </c>
      <c r="B76" s="884" t="s">
        <v>1138</v>
      </c>
      <c r="C76" s="884">
        <f t="shared" ref="C76" si="36">SUM(M76:O76)</f>
        <v>2125264.75</v>
      </c>
      <c r="D76" s="884">
        <f t="shared" ref="D76" si="37">SUM(Q76:S76)</f>
        <v>2334724.94</v>
      </c>
      <c r="E76" s="1085"/>
      <c r="F76" s="1085"/>
      <c r="G76" s="1085">
        <f t="shared" ref="G76" si="38">ROUND(SUM(C76:F76)/2,0)</f>
        <v>2229995</v>
      </c>
      <c r="H76" s="1085"/>
      <c r="I76" s="1085">
        <f t="shared" ref="I76" si="39">(M76+Q76)/2</f>
        <v>74709.864999999991</v>
      </c>
      <c r="J76" s="1085">
        <f t="shared" ref="J76" si="40">(N76+R76)/2</f>
        <v>3560.8050000000003</v>
      </c>
      <c r="K76" s="1085">
        <f t="shared" ref="K76" si="41">(O76+S76)/2</f>
        <v>2151724.1749999998</v>
      </c>
      <c r="L76" s="1085"/>
      <c r="M76" s="884">
        <v>42659.25</v>
      </c>
      <c r="N76" s="884">
        <f>-81666.72+163333.44</f>
        <v>81666.720000000001</v>
      </c>
      <c r="O76" s="884">
        <v>2000938.78</v>
      </c>
      <c r="P76" s="1085"/>
      <c r="Q76" s="884">
        <v>106760.48</v>
      </c>
      <c r="R76" s="884">
        <v>-74545.11</v>
      </c>
      <c r="S76" s="884">
        <v>2302509.5699999998</v>
      </c>
    </row>
    <row r="77" spans="1:19">
      <c r="A77" s="1115">
        <f t="shared" si="4"/>
        <v>2.609999999999987</v>
      </c>
      <c r="B77" s="884" t="s">
        <v>1009</v>
      </c>
      <c r="C77" s="884">
        <f t="shared" si="0"/>
        <v>-348244.2</v>
      </c>
      <c r="D77" s="884">
        <f t="shared" si="1"/>
        <v>-348244.2</v>
      </c>
      <c r="E77" s="1085"/>
      <c r="F77" s="1085"/>
      <c r="G77" s="1085">
        <f t="shared" si="2"/>
        <v>-348244</v>
      </c>
      <c r="H77" s="1085"/>
      <c r="I77" s="1085">
        <f t="shared" si="29"/>
        <v>-348244.2</v>
      </c>
      <c r="J77" s="1085">
        <f t="shared" si="29"/>
        <v>0</v>
      </c>
      <c r="K77" s="1085">
        <f t="shared" si="29"/>
        <v>0</v>
      </c>
      <c r="L77" s="1085"/>
      <c r="M77" s="884">
        <v>-348244.2</v>
      </c>
      <c r="N77" s="884">
        <v>0</v>
      </c>
      <c r="O77" s="884">
        <v>0</v>
      </c>
      <c r="P77" s="1085"/>
      <c r="Q77" s="884">
        <v>-348244.2</v>
      </c>
      <c r="R77" s="884">
        <v>0</v>
      </c>
      <c r="S77" s="884">
        <v>0</v>
      </c>
    </row>
    <row r="78" spans="1:19">
      <c r="A78" s="1115">
        <f t="shared" si="4"/>
        <v>2.6199999999999868</v>
      </c>
      <c r="B78" s="884" t="s">
        <v>1010</v>
      </c>
      <c r="C78" s="884">
        <f t="shared" si="0"/>
        <v>0</v>
      </c>
      <c r="D78" s="884">
        <f t="shared" si="1"/>
        <v>504.42</v>
      </c>
      <c r="E78" s="1085"/>
      <c r="F78" s="1085"/>
      <c r="G78" s="1085">
        <f t="shared" si="2"/>
        <v>252</v>
      </c>
      <c r="H78" s="1085"/>
      <c r="I78" s="1085">
        <f t="shared" si="29"/>
        <v>252.21</v>
      </c>
      <c r="J78" s="1085">
        <f t="shared" si="29"/>
        <v>0</v>
      </c>
      <c r="K78" s="1085">
        <f t="shared" si="29"/>
        <v>0</v>
      </c>
      <c r="L78" s="1085"/>
      <c r="M78" s="884">
        <v>0</v>
      </c>
      <c r="N78" s="884">
        <v>0</v>
      </c>
      <c r="O78" s="884">
        <v>0</v>
      </c>
      <c r="P78" s="1085"/>
      <c r="Q78" s="884">
        <v>504.42</v>
      </c>
      <c r="R78" s="884">
        <v>0</v>
      </c>
      <c r="S78" s="884">
        <v>0</v>
      </c>
    </row>
    <row r="79" spans="1:19">
      <c r="A79" s="1115">
        <f t="shared" si="4"/>
        <v>2.6299999999999866</v>
      </c>
      <c r="B79" s="884" t="s">
        <v>1011</v>
      </c>
      <c r="C79" s="884">
        <f t="shared" si="0"/>
        <v>0</v>
      </c>
      <c r="D79" s="884">
        <f t="shared" si="1"/>
        <v>0</v>
      </c>
      <c r="E79" s="1085"/>
      <c r="F79" s="1085"/>
      <c r="G79" s="1085">
        <f t="shared" si="2"/>
        <v>0</v>
      </c>
      <c r="H79" s="1085"/>
      <c r="I79" s="1085">
        <f t="shared" si="29"/>
        <v>0</v>
      </c>
      <c r="J79" s="1085">
        <f t="shared" si="29"/>
        <v>0</v>
      </c>
      <c r="K79" s="1085">
        <f t="shared" si="29"/>
        <v>0</v>
      </c>
      <c r="L79" s="1085"/>
      <c r="M79" s="884">
        <v>0</v>
      </c>
      <c r="N79" s="884">
        <v>0</v>
      </c>
      <c r="O79" s="884">
        <v>0</v>
      </c>
      <c r="P79" s="1085"/>
      <c r="Q79" s="884">
        <v>0</v>
      </c>
      <c r="R79" s="884">
        <v>0</v>
      </c>
      <c r="S79" s="884">
        <v>0</v>
      </c>
    </row>
    <row r="80" spans="1:19">
      <c r="A80" s="1115">
        <f t="shared" si="4"/>
        <v>2.6399999999999864</v>
      </c>
      <c r="B80" s="884" t="s">
        <v>1012</v>
      </c>
      <c r="C80" s="884">
        <f t="shared" si="0"/>
        <v>0</v>
      </c>
      <c r="D80" s="884">
        <f t="shared" si="1"/>
        <v>0</v>
      </c>
      <c r="E80" s="1085"/>
      <c r="F80" s="1085"/>
      <c r="G80" s="1085">
        <f t="shared" si="2"/>
        <v>0</v>
      </c>
      <c r="H80" s="1085"/>
      <c r="I80" s="1085">
        <f t="shared" si="29"/>
        <v>0</v>
      </c>
      <c r="J80" s="1085">
        <f t="shared" si="29"/>
        <v>0</v>
      </c>
      <c r="K80" s="1085">
        <f t="shared" si="29"/>
        <v>0</v>
      </c>
      <c r="L80" s="1085"/>
      <c r="M80" s="884">
        <v>0</v>
      </c>
      <c r="N80" s="884">
        <v>0</v>
      </c>
      <c r="O80" s="884">
        <v>0</v>
      </c>
      <c r="P80" s="1085"/>
      <c r="Q80" s="884">
        <v>0</v>
      </c>
      <c r="R80" s="884">
        <v>0</v>
      </c>
      <c r="S80" s="884">
        <v>0</v>
      </c>
    </row>
    <row r="81" spans="1:19">
      <c r="A81" s="1115">
        <f t="shared" si="4"/>
        <v>2.6499999999999861</v>
      </c>
      <c r="B81" s="884" t="s">
        <v>1013</v>
      </c>
      <c r="C81" s="884">
        <f t="shared" si="0"/>
        <v>84840</v>
      </c>
      <c r="D81" s="884">
        <f t="shared" si="1"/>
        <v>93271.71</v>
      </c>
      <c r="E81" s="1085"/>
      <c r="F81" s="1085"/>
      <c r="G81" s="1085">
        <f t="shared" si="2"/>
        <v>89056</v>
      </c>
      <c r="H81" s="1085"/>
      <c r="I81" s="1085">
        <f t="shared" si="29"/>
        <v>0</v>
      </c>
      <c r="J81" s="1085">
        <f t="shared" si="29"/>
        <v>6846</v>
      </c>
      <c r="K81" s="1085">
        <f t="shared" si="29"/>
        <v>82209.85500000001</v>
      </c>
      <c r="L81" s="1085"/>
      <c r="M81" s="884">
        <v>0</v>
      </c>
      <c r="N81" s="884">
        <v>12411</v>
      </c>
      <c r="O81" s="884">
        <v>72429</v>
      </c>
      <c r="P81" s="1085"/>
      <c r="Q81" s="884">
        <v>0</v>
      </c>
      <c r="R81" s="884">
        <v>1281</v>
      </c>
      <c r="S81" s="884">
        <v>91990.71</v>
      </c>
    </row>
    <row r="82" spans="1:19">
      <c r="A82" s="1115">
        <f t="shared" si="4"/>
        <v>2.6599999999999859</v>
      </c>
      <c r="B82" s="884" t="s">
        <v>1014</v>
      </c>
      <c r="C82" s="884">
        <f t="shared" si="0"/>
        <v>-9560.24</v>
      </c>
      <c r="D82" s="884">
        <f t="shared" si="1"/>
        <v>0.6399999999999999</v>
      </c>
      <c r="E82" s="1085"/>
      <c r="F82" s="1085"/>
      <c r="G82" s="1085">
        <f t="shared" si="2"/>
        <v>-4780</v>
      </c>
      <c r="H82" s="1085"/>
      <c r="I82" s="1085">
        <f t="shared" si="29"/>
        <v>0.36</v>
      </c>
      <c r="J82" s="1085">
        <f t="shared" si="29"/>
        <v>-0.08</v>
      </c>
      <c r="K82" s="1085">
        <f t="shared" si="29"/>
        <v>-4780.08</v>
      </c>
      <c r="L82" s="1085"/>
      <c r="M82" s="884">
        <v>0.36</v>
      </c>
      <c r="N82" s="884">
        <v>-0.08</v>
      </c>
      <c r="O82" s="884">
        <v>-9560.52</v>
      </c>
      <c r="P82" s="1085"/>
      <c r="Q82" s="884">
        <v>0.36</v>
      </c>
      <c r="R82" s="884">
        <v>-0.08</v>
      </c>
      <c r="S82" s="884">
        <v>0.36</v>
      </c>
    </row>
    <row r="83" spans="1:19">
      <c r="A83" s="1115">
        <f t="shared" si="4"/>
        <v>2.6699999999999857</v>
      </c>
      <c r="B83" s="884" t="s">
        <v>1015</v>
      </c>
      <c r="C83" s="884">
        <f t="shared" si="0"/>
        <v>0</v>
      </c>
      <c r="D83" s="884">
        <f t="shared" si="1"/>
        <v>0</v>
      </c>
      <c r="E83" s="1085"/>
      <c r="F83" s="1085"/>
      <c r="G83" s="1085">
        <f t="shared" si="2"/>
        <v>0</v>
      </c>
      <c r="H83" s="1085"/>
      <c r="I83" s="1085">
        <f t="shared" si="29"/>
        <v>0</v>
      </c>
      <c r="J83" s="1085">
        <f t="shared" si="29"/>
        <v>0</v>
      </c>
      <c r="K83" s="1085">
        <f t="shared" si="29"/>
        <v>0</v>
      </c>
      <c r="L83" s="1085"/>
      <c r="M83" s="884">
        <v>0</v>
      </c>
      <c r="N83" s="884">
        <v>0</v>
      </c>
      <c r="O83" s="884">
        <v>0</v>
      </c>
      <c r="P83" s="1085"/>
      <c r="Q83" s="884">
        <v>0</v>
      </c>
      <c r="R83" s="884">
        <v>0</v>
      </c>
      <c r="S83" s="884">
        <v>0</v>
      </c>
    </row>
    <row r="84" spans="1:19">
      <c r="A84" s="1115">
        <f t="shared" si="4"/>
        <v>2.6799999999999855</v>
      </c>
      <c r="B84" s="884" t="s">
        <v>734</v>
      </c>
      <c r="C84" s="884">
        <f t="shared" si="0"/>
        <v>733463.22</v>
      </c>
      <c r="D84" s="884">
        <f t="shared" si="1"/>
        <v>638412.18000000005</v>
      </c>
      <c r="E84" s="1085"/>
      <c r="F84" s="1085"/>
      <c r="G84" s="1085">
        <f t="shared" si="2"/>
        <v>685938</v>
      </c>
      <c r="H84" s="1085"/>
      <c r="I84" s="1085">
        <f t="shared" si="29"/>
        <v>685937.7</v>
      </c>
      <c r="J84" s="1085">
        <f t="shared" si="29"/>
        <v>0</v>
      </c>
      <c r="K84" s="1085">
        <f t="shared" si="29"/>
        <v>0</v>
      </c>
      <c r="L84" s="1085"/>
      <c r="M84" s="884">
        <v>733463.22</v>
      </c>
      <c r="N84" s="884">
        <v>0</v>
      </c>
      <c r="O84" s="884">
        <v>0</v>
      </c>
      <c r="P84" s="1085"/>
      <c r="Q84" s="884">
        <v>638412.18000000005</v>
      </c>
      <c r="R84" s="884">
        <v>0</v>
      </c>
      <c r="S84" s="884">
        <v>0</v>
      </c>
    </row>
    <row r="85" spans="1:19">
      <c r="A85" s="1115">
        <f t="shared" si="4"/>
        <v>2.6899999999999853</v>
      </c>
      <c r="B85" s="884" t="s">
        <v>1016</v>
      </c>
      <c r="C85" s="884">
        <f t="shared" si="0"/>
        <v>0</v>
      </c>
      <c r="D85" s="884">
        <f t="shared" si="1"/>
        <v>0</v>
      </c>
      <c r="E85" s="1085"/>
      <c r="F85" s="1085"/>
      <c r="G85" s="1085">
        <f t="shared" si="2"/>
        <v>0</v>
      </c>
      <c r="H85" s="1085"/>
      <c r="I85" s="1085">
        <f t="shared" si="29"/>
        <v>0</v>
      </c>
      <c r="J85" s="1085">
        <f t="shared" si="29"/>
        <v>0</v>
      </c>
      <c r="K85" s="1085">
        <f t="shared" si="29"/>
        <v>0</v>
      </c>
      <c r="L85" s="1085"/>
      <c r="M85" s="884">
        <v>0</v>
      </c>
      <c r="N85" s="884">
        <v>0</v>
      </c>
      <c r="O85" s="884">
        <v>0</v>
      </c>
      <c r="P85" s="1085"/>
      <c r="Q85" s="884">
        <v>0</v>
      </c>
      <c r="R85" s="884">
        <v>0</v>
      </c>
      <c r="S85" s="884">
        <v>0</v>
      </c>
    </row>
    <row r="86" spans="1:19">
      <c r="A86" s="1115">
        <f t="shared" si="4"/>
        <v>2.6999999999999851</v>
      </c>
      <c r="B86" s="884" t="s">
        <v>1017</v>
      </c>
      <c r="C86" s="884">
        <f t="shared" si="0"/>
        <v>34814.85</v>
      </c>
      <c r="D86" s="884">
        <f t="shared" si="1"/>
        <v>34814.85</v>
      </c>
      <c r="E86" s="1085"/>
      <c r="F86" s="1085"/>
      <c r="G86" s="1085">
        <f t="shared" si="2"/>
        <v>34815</v>
      </c>
      <c r="H86" s="1085"/>
      <c r="I86" s="1085">
        <f t="shared" si="29"/>
        <v>0</v>
      </c>
      <c r="J86" s="1085">
        <f t="shared" si="29"/>
        <v>0</v>
      </c>
      <c r="K86" s="1085">
        <f t="shared" si="29"/>
        <v>34814.85</v>
      </c>
      <c r="L86" s="1085"/>
      <c r="M86" s="884">
        <v>0</v>
      </c>
      <c r="N86" s="884">
        <v>0</v>
      </c>
      <c r="O86" s="884">
        <v>34814.85</v>
      </c>
      <c r="P86" s="1085"/>
      <c r="Q86" s="884">
        <v>0</v>
      </c>
      <c r="R86" s="884">
        <v>0</v>
      </c>
      <c r="S86" s="884">
        <v>34814.85</v>
      </c>
    </row>
    <row r="87" spans="1:19">
      <c r="A87" s="1115">
        <f t="shared" si="4"/>
        <v>2.7099999999999849</v>
      </c>
      <c r="B87" s="884" t="s">
        <v>1018</v>
      </c>
      <c r="C87" s="884">
        <f t="shared" si="0"/>
        <v>57435.679999999993</v>
      </c>
      <c r="D87" s="884">
        <f t="shared" si="1"/>
        <v>57435.679999999993</v>
      </c>
      <c r="E87" s="1085"/>
      <c r="F87" s="1085"/>
      <c r="G87" s="1085">
        <f t="shared" si="2"/>
        <v>57436</v>
      </c>
      <c r="H87" s="1085"/>
      <c r="I87" s="1085">
        <f t="shared" si="29"/>
        <v>100717.12</v>
      </c>
      <c r="J87" s="1085">
        <f t="shared" si="29"/>
        <v>0</v>
      </c>
      <c r="K87" s="1085">
        <f t="shared" si="29"/>
        <v>-43281.440000000002</v>
      </c>
      <c r="L87" s="1085"/>
      <c r="M87" s="884">
        <v>100717.12</v>
      </c>
      <c r="N87" s="884">
        <v>0</v>
      </c>
      <c r="O87" s="884">
        <v>-43281.440000000002</v>
      </c>
      <c r="P87" s="1085"/>
      <c r="Q87" s="884">
        <v>100717.12</v>
      </c>
      <c r="R87" s="884">
        <v>0</v>
      </c>
      <c r="S87" s="884">
        <v>-43281.440000000002</v>
      </c>
    </row>
    <row r="88" spans="1:19">
      <c r="A88" s="1115">
        <f t="shared" si="4"/>
        <v>2.7199999999999847</v>
      </c>
      <c r="B88" s="884" t="s">
        <v>1264</v>
      </c>
      <c r="C88" s="884">
        <f t="shared" ref="C88" si="42">SUM(M88:O88)</f>
        <v>0</v>
      </c>
      <c r="D88" s="884">
        <f t="shared" ref="D88" si="43">SUM(Q88:S88)</f>
        <v>-0.04</v>
      </c>
      <c r="E88" s="1085"/>
      <c r="F88" s="1085"/>
      <c r="G88" s="1085">
        <f t="shared" ref="G88" si="44">ROUND(SUM(C88:F88)/2,0)</f>
        <v>0</v>
      </c>
      <c r="H88" s="1085"/>
      <c r="I88" s="1085">
        <f t="shared" ref="I88" si="45">(M88+Q88)/2</f>
        <v>3.5000000000000003E-2</v>
      </c>
      <c r="J88" s="1085">
        <f t="shared" ref="J88" si="46">(N88+R88)/2</f>
        <v>-3.5000000000000003E-2</v>
      </c>
      <c r="K88" s="1085">
        <f t="shared" ref="K88" si="47">(O88+S88)/2</f>
        <v>-0.02</v>
      </c>
      <c r="L88" s="1085"/>
      <c r="M88" s="884">
        <v>0</v>
      </c>
      <c r="N88" s="884">
        <v>0</v>
      </c>
      <c r="O88" s="884">
        <v>0</v>
      </c>
      <c r="P88" s="1085"/>
      <c r="Q88" s="884">
        <v>7.0000000000000007E-2</v>
      </c>
      <c r="R88" s="884">
        <v>-7.0000000000000007E-2</v>
      </c>
      <c r="S88" s="884">
        <v>-0.04</v>
      </c>
    </row>
    <row r="89" spans="1:19">
      <c r="A89" s="1115">
        <f t="shared" si="4"/>
        <v>2.7299999999999844</v>
      </c>
      <c r="B89" s="884" t="s">
        <v>1019</v>
      </c>
      <c r="C89" s="884">
        <f t="shared" ref="C89:C91" si="48">SUM(M89:O89)</f>
        <v>21901.510000000002</v>
      </c>
      <c r="D89" s="884">
        <f t="shared" ref="D89:D91" si="49">SUM(Q89:S89)</f>
        <v>10147.14</v>
      </c>
      <c r="E89" s="1085"/>
      <c r="F89" s="1085"/>
      <c r="G89" s="1085">
        <f t="shared" ref="G89:G100" si="50">ROUND(SUM(C89:F89)/2,0)</f>
        <v>16024</v>
      </c>
      <c r="H89" s="1085"/>
      <c r="I89" s="1085">
        <f t="shared" ref="I89:K91" si="51">(M89+Q89)/2</f>
        <v>3651.2250000000004</v>
      </c>
      <c r="J89" s="1085">
        <f t="shared" si="51"/>
        <v>0</v>
      </c>
      <c r="K89" s="1085">
        <f t="shared" si="51"/>
        <v>12373.1</v>
      </c>
      <c r="L89" s="1085"/>
      <c r="M89" s="884">
        <v>3309.11</v>
      </c>
      <c r="N89" s="884">
        <v>0</v>
      </c>
      <c r="O89" s="884">
        <v>18592.400000000001</v>
      </c>
      <c r="P89" s="1085"/>
      <c r="Q89" s="884">
        <v>3993.34</v>
      </c>
      <c r="R89" s="884">
        <v>0</v>
      </c>
      <c r="S89" s="884">
        <v>6153.8</v>
      </c>
    </row>
    <row r="90" spans="1:19">
      <c r="A90" s="1115">
        <f t="shared" si="4"/>
        <v>2.7399999999999842</v>
      </c>
      <c r="B90" s="884" t="s">
        <v>1020</v>
      </c>
      <c r="C90" s="884">
        <f t="shared" si="48"/>
        <v>97525.040000000008</v>
      </c>
      <c r="D90" s="884">
        <f t="shared" si="49"/>
        <v>163111.23000000001</v>
      </c>
      <c r="E90" s="1085"/>
      <c r="F90" s="1085"/>
      <c r="G90" s="1085">
        <f t="shared" si="50"/>
        <v>130318</v>
      </c>
      <c r="H90" s="1085"/>
      <c r="I90" s="1085">
        <f t="shared" si="51"/>
        <v>24576.04</v>
      </c>
      <c r="J90" s="1085">
        <f t="shared" si="51"/>
        <v>0</v>
      </c>
      <c r="K90" s="1085">
        <f t="shared" si="51"/>
        <v>105742.095</v>
      </c>
      <c r="L90" s="1085"/>
      <c r="M90" s="884">
        <v>18029.29</v>
      </c>
      <c r="N90" s="884">
        <v>0</v>
      </c>
      <c r="O90" s="884">
        <v>79495.75</v>
      </c>
      <c r="P90" s="1085"/>
      <c r="Q90" s="884">
        <v>31122.79</v>
      </c>
      <c r="R90" s="884">
        <v>0</v>
      </c>
      <c r="S90" s="884">
        <v>131988.44</v>
      </c>
    </row>
    <row r="91" spans="1:19">
      <c r="A91" s="1115">
        <f t="shared" si="4"/>
        <v>2.749999999999984</v>
      </c>
      <c r="B91" s="884" t="s">
        <v>1021</v>
      </c>
      <c r="C91" s="884">
        <f t="shared" si="48"/>
        <v>2611.91</v>
      </c>
      <c r="D91" s="884">
        <f t="shared" si="49"/>
        <v>0</v>
      </c>
      <c r="E91" s="1085"/>
      <c r="F91" s="1085"/>
      <c r="G91" s="1085">
        <f t="shared" si="50"/>
        <v>1306</v>
      </c>
      <c r="H91" s="1085"/>
      <c r="I91" s="1085">
        <f t="shared" si="51"/>
        <v>559.375</v>
      </c>
      <c r="J91" s="1085">
        <f t="shared" si="51"/>
        <v>746.58</v>
      </c>
      <c r="K91" s="1085">
        <f t="shared" si="51"/>
        <v>0</v>
      </c>
      <c r="L91" s="1085"/>
      <c r="M91" s="884">
        <v>1118.75</v>
      </c>
      <c r="N91" s="884">
        <v>1493.16</v>
      </c>
      <c r="O91" s="884">
        <v>0</v>
      </c>
      <c r="P91" s="1085"/>
      <c r="Q91" s="884">
        <v>0</v>
      </c>
      <c r="R91" s="884">
        <v>0</v>
      </c>
      <c r="S91" s="884">
        <v>0</v>
      </c>
    </row>
    <row r="92" spans="1:19">
      <c r="A92" s="1115">
        <f t="shared" ref="A92:A100" si="52">A91+0.01</f>
        <v>2.7599999999999838</v>
      </c>
      <c r="B92" s="884" t="s">
        <v>1022</v>
      </c>
      <c r="C92" s="884">
        <f>-E92</f>
        <v>1019359.47</v>
      </c>
      <c r="D92" s="884">
        <f>-F92</f>
        <v>404517.51</v>
      </c>
      <c r="E92" s="1085">
        <v>-1019359.47</v>
      </c>
      <c r="F92" s="1085">
        <v>-404517.51</v>
      </c>
      <c r="G92" s="1085">
        <f t="shared" si="50"/>
        <v>0</v>
      </c>
      <c r="H92" s="1085"/>
      <c r="I92" s="1085"/>
      <c r="J92" s="1085"/>
      <c r="K92" s="1085"/>
      <c r="L92" s="1085"/>
      <c r="M92" s="1085"/>
      <c r="N92" s="1085"/>
      <c r="O92" s="1085"/>
      <c r="P92" s="1085"/>
      <c r="Q92" s="1085"/>
      <c r="R92" s="1085"/>
      <c r="S92" s="1085"/>
    </row>
    <row r="93" spans="1:19">
      <c r="A93" s="1115">
        <f t="shared" si="52"/>
        <v>2.7699999999999836</v>
      </c>
      <c r="B93" s="884" t="s">
        <v>1023</v>
      </c>
      <c r="C93" s="884">
        <f t="shared" ref="C93:C99" si="53">-E93</f>
        <v>23361205.260000002</v>
      </c>
      <c r="D93" s="884">
        <f t="shared" ref="D93:D99" si="54">-F93</f>
        <v>24633710.719999999</v>
      </c>
      <c r="E93" s="1085">
        <v>-23361205.260000002</v>
      </c>
      <c r="F93" s="1085">
        <v>-24633710.719999999</v>
      </c>
      <c r="G93" s="1085">
        <f t="shared" si="50"/>
        <v>0</v>
      </c>
      <c r="H93" s="1085"/>
      <c r="I93" s="1085"/>
      <c r="J93" s="1085"/>
      <c r="K93" s="1085"/>
      <c r="L93" s="1085"/>
      <c r="M93" s="1085"/>
      <c r="N93" s="1085"/>
      <c r="O93" s="1085"/>
      <c r="P93" s="1085"/>
      <c r="Q93" s="1085"/>
      <c r="R93" s="1085"/>
      <c r="S93" s="1085"/>
    </row>
    <row r="94" spans="1:19">
      <c r="A94" s="1115">
        <f t="shared" si="52"/>
        <v>2.7799999999999834</v>
      </c>
      <c r="B94" s="884" t="s">
        <v>1024</v>
      </c>
      <c r="C94" s="884">
        <f t="shared" si="53"/>
        <v>66166818.170000002</v>
      </c>
      <c r="D94" s="884">
        <f t="shared" si="54"/>
        <v>62525815.530000001</v>
      </c>
      <c r="E94" s="1085">
        <v>-66166818.170000002</v>
      </c>
      <c r="F94" s="1085">
        <v>-62525815.530000001</v>
      </c>
      <c r="G94" s="1085">
        <f t="shared" si="50"/>
        <v>0</v>
      </c>
      <c r="H94" s="1085"/>
      <c r="I94" s="1085"/>
      <c r="J94" s="1085"/>
      <c r="K94" s="1085"/>
      <c r="L94" s="1085"/>
      <c r="M94" s="1085"/>
      <c r="N94" s="1085"/>
      <c r="O94" s="1085"/>
      <c r="P94" s="1085"/>
      <c r="Q94" s="1085"/>
      <c r="R94" s="1085"/>
      <c r="S94" s="1085"/>
    </row>
    <row r="95" spans="1:19">
      <c r="A95" s="1115">
        <f t="shared" si="52"/>
        <v>2.7899999999999832</v>
      </c>
      <c r="B95" s="884" t="s">
        <v>1025</v>
      </c>
      <c r="C95" s="884">
        <f t="shared" si="53"/>
        <v>0</v>
      </c>
      <c r="D95" s="884">
        <f t="shared" si="54"/>
        <v>0</v>
      </c>
      <c r="E95" s="1085">
        <v>0</v>
      </c>
      <c r="F95" s="1085">
        <v>0</v>
      </c>
      <c r="G95" s="1085">
        <f t="shared" si="50"/>
        <v>0</v>
      </c>
      <c r="H95" s="1085"/>
      <c r="I95" s="1085"/>
      <c r="J95" s="1085"/>
      <c r="K95" s="1085"/>
      <c r="L95" s="1085"/>
      <c r="M95" s="1085"/>
      <c r="N95" s="1085"/>
      <c r="O95" s="1085"/>
      <c r="P95" s="1085"/>
      <c r="Q95" s="1085"/>
      <c r="R95" s="1085"/>
      <c r="S95" s="1085"/>
    </row>
    <row r="96" spans="1:19">
      <c r="A96" s="1115">
        <f t="shared" si="52"/>
        <v>2.7999999999999829</v>
      </c>
      <c r="B96" s="884" t="s">
        <v>1026</v>
      </c>
      <c r="C96" s="884">
        <f t="shared" si="53"/>
        <v>0</v>
      </c>
      <c r="D96" s="884">
        <f t="shared" si="54"/>
        <v>0</v>
      </c>
      <c r="E96" s="1085">
        <v>0</v>
      </c>
      <c r="F96" s="1085">
        <v>0</v>
      </c>
      <c r="G96" s="1085">
        <f t="shared" si="50"/>
        <v>0</v>
      </c>
      <c r="H96" s="1085"/>
      <c r="I96" s="1085"/>
      <c r="J96" s="1085"/>
      <c r="K96" s="1085"/>
      <c r="L96" s="1085"/>
      <c r="M96" s="1085"/>
      <c r="N96" s="1085"/>
      <c r="O96" s="1085"/>
      <c r="P96" s="1085"/>
      <c r="Q96" s="1085"/>
      <c r="R96" s="1085"/>
      <c r="S96" s="1085"/>
    </row>
    <row r="97" spans="1:256">
      <c r="A97" s="1115">
        <f t="shared" si="52"/>
        <v>2.8099999999999827</v>
      </c>
      <c r="B97" s="884" t="s">
        <v>1027</v>
      </c>
      <c r="C97" s="884">
        <f t="shared" si="53"/>
        <v>246002.4</v>
      </c>
      <c r="D97" s="884">
        <f t="shared" si="54"/>
        <v>190010.1</v>
      </c>
      <c r="E97" s="1085">
        <v>-246002.4</v>
      </c>
      <c r="F97" s="1085">
        <v>-190010.1</v>
      </c>
      <c r="G97" s="1085">
        <f t="shared" si="50"/>
        <v>0</v>
      </c>
      <c r="H97" s="1085"/>
      <c r="I97" s="1085"/>
      <c r="J97" s="1085"/>
      <c r="K97" s="1085"/>
      <c r="L97" s="1085"/>
      <c r="M97" s="1085"/>
      <c r="N97" s="1085"/>
      <c r="O97" s="1085"/>
      <c r="P97" s="1085"/>
      <c r="Q97" s="1085"/>
      <c r="R97" s="1085"/>
      <c r="S97" s="1085"/>
    </row>
    <row r="98" spans="1:256">
      <c r="A98" s="1115">
        <f t="shared" si="52"/>
        <v>2.8199999999999825</v>
      </c>
      <c r="B98" s="884" t="s">
        <v>1028</v>
      </c>
      <c r="C98" s="884">
        <f t="shared" si="53"/>
        <v>-455928.9</v>
      </c>
      <c r="D98" s="884">
        <f t="shared" si="54"/>
        <v>-423507.42</v>
      </c>
      <c r="E98" s="1085">
        <v>455928.9</v>
      </c>
      <c r="F98" s="1085">
        <v>423507.42</v>
      </c>
      <c r="G98" s="1085">
        <f t="shared" si="50"/>
        <v>0</v>
      </c>
      <c r="H98" s="1085"/>
      <c r="I98" s="1085"/>
      <c r="J98" s="1085"/>
      <c r="K98" s="1085"/>
      <c r="L98" s="1085"/>
      <c r="M98" s="1085"/>
      <c r="N98" s="1085"/>
      <c r="O98" s="1085"/>
      <c r="P98" s="1085"/>
      <c r="Q98" s="1085"/>
      <c r="R98" s="1085"/>
      <c r="S98" s="1085"/>
    </row>
    <row r="99" spans="1:256">
      <c r="A99" s="1115">
        <f t="shared" si="52"/>
        <v>2.8299999999999823</v>
      </c>
      <c r="B99" s="884" t="s">
        <v>1029</v>
      </c>
      <c r="C99" s="884">
        <f t="shared" si="53"/>
        <v>0</v>
      </c>
      <c r="D99" s="884">
        <f t="shared" si="54"/>
        <v>0</v>
      </c>
      <c r="E99" s="1085">
        <v>0</v>
      </c>
      <c r="F99" s="1085">
        <v>0</v>
      </c>
      <c r="G99" s="1085">
        <f t="shared" si="50"/>
        <v>0</v>
      </c>
      <c r="H99" s="1085"/>
      <c r="I99" s="1085"/>
      <c r="J99" s="1085"/>
      <c r="K99" s="1085"/>
      <c r="L99" s="1085"/>
      <c r="M99" s="1085"/>
      <c r="N99" s="1085"/>
      <c r="O99" s="1085"/>
      <c r="P99" s="1085"/>
      <c r="Q99" s="1085"/>
      <c r="R99" s="1085"/>
      <c r="S99" s="1085"/>
    </row>
    <row r="100" spans="1:256">
      <c r="A100" s="1115">
        <f t="shared" si="52"/>
        <v>2.8399999999999821</v>
      </c>
      <c r="B100" s="884" t="s">
        <v>1030</v>
      </c>
      <c r="C100" s="884">
        <f>SUM(M100:O100)</f>
        <v>6856608.2800000003</v>
      </c>
      <c r="D100" s="884">
        <f>SUM(Q100:S100)</f>
        <v>9866797.3499999996</v>
      </c>
      <c r="E100" s="1085"/>
      <c r="F100" s="1085"/>
      <c r="G100" s="1085">
        <f t="shared" si="50"/>
        <v>8361703</v>
      </c>
      <c r="H100" s="1085"/>
      <c r="I100" s="1085">
        <f t="shared" ref="I100:K100" si="55">(M100+Q100)/2</f>
        <v>8356562.8149999995</v>
      </c>
      <c r="J100" s="1085">
        <f t="shared" si="55"/>
        <v>0</v>
      </c>
      <c r="K100" s="1085">
        <f t="shared" si="55"/>
        <v>5140</v>
      </c>
      <c r="L100" s="1085"/>
      <c r="M100" s="1087">
        <v>6856608.2800000003</v>
      </c>
      <c r="N100" s="1087">
        <v>0</v>
      </c>
      <c r="O100" s="1087">
        <v>0</v>
      </c>
      <c r="P100" s="1085"/>
      <c r="Q100" s="1087">
        <v>9856517.3499999996</v>
      </c>
      <c r="R100" s="1087">
        <v>0</v>
      </c>
      <c r="S100" s="1087">
        <v>10280</v>
      </c>
    </row>
    <row r="101" spans="1:256">
      <c r="A101" s="1105"/>
      <c r="B101" s="1085"/>
      <c r="C101" s="1085"/>
      <c r="D101" s="1085"/>
      <c r="E101" s="1085"/>
      <c r="F101" s="1085"/>
      <c r="G101" s="1085"/>
      <c r="H101" s="1085"/>
      <c r="I101" s="1085"/>
      <c r="J101" s="1085"/>
      <c r="K101" s="1085"/>
      <c r="L101" s="1085"/>
      <c r="M101" s="1085"/>
      <c r="N101" s="1085"/>
      <c r="O101" s="1085"/>
      <c r="P101" s="1085"/>
      <c r="Q101" s="1085"/>
      <c r="R101" s="1085"/>
      <c r="S101" s="1085"/>
    </row>
    <row r="102" spans="1:256" ht="13.5" thickBot="1">
      <c r="A102" s="22">
        <v>3</v>
      </c>
      <c r="B102" s="1091" t="s">
        <v>744</v>
      </c>
      <c r="C102" s="1106">
        <f>SUM(C17:C101)</f>
        <v>105810116.46000001</v>
      </c>
      <c r="D102" s="1106">
        <f>SUM(D17:D101)</f>
        <v>101993169.70999998</v>
      </c>
      <c r="E102" s="1106">
        <f>SUM(E17:E101)</f>
        <v>-90337456.400000006</v>
      </c>
      <c r="F102" s="1106">
        <f>SUM(F17:F101)</f>
        <v>-87330546.439999998</v>
      </c>
      <c r="G102" s="1106">
        <f>SUM(G17:G101)</f>
        <v>15067643</v>
      </c>
      <c r="H102" s="1085"/>
      <c r="I102" s="1106">
        <f>SUM(I17:I101)</f>
        <v>9837450.2249999978</v>
      </c>
      <c r="J102" s="1106">
        <f>SUM(J17:J101)</f>
        <v>2412325.2300000004</v>
      </c>
      <c r="K102" s="1106">
        <f>SUM(K17:K101)</f>
        <v>2817866.2099999995</v>
      </c>
      <c r="L102" s="1085"/>
      <c r="M102" s="1106">
        <f>SUM(M17:M101)</f>
        <v>10914788.950000001</v>
      </c>
      <c r="N102" s="1106">
        <f>SUM(N17:N101)</f>
        <v>2388480.3600000008</v>
      </c>
      <c r="O102" s="1106">
        <f>SUM(O17:O101)</f>
        <v>2169390.75</v>
      </c>
      <c r="P102" s="1085"/>
      <c r="Q102" s="1106">
        <f>SUM(Q17:Q101)</f>
        <v>8760111.5</v>
      </c>
      <c r="R102" s="1106">
        <f>SUM(R17:R101)</f>
        <v>2436170.1000000006</v>
      </c>
      <c r="S102" s="1106">
        <f>SUM(S17:S101)</f>
        <v>3466341.6699999995</v>
      </c>
    </row>
    <row r="103" spans="1:256" ht="13.5" thickTop="1">
      <c r="A103" s="1">
        <v>4</v>
      </c>
      <c r="B103" s="1162" t="s">
        <v>747</v>
      </c>
      <c r="C103" s="1163">
        <f>C75</f>
        <v>9165188.4199999999</v>
      </c>
      <c r="D103" s="1163">
        <f t="shared" ref="D103:S103" si="56">D75</f>
        <v>5170552.1499999994</v>
      </c>
      <c r="E103" s="1163">
        <f t="shared" si="56"/>
        <v>0</v>
      </c>
      <c r="F103" s="1163">
        <f t="shared" si="56"/>
        <v>0</v>
      </c>
      <c r="G103" s="1163">
        <f t="shared" si="56"/>
        <v>7167870</v>
      </c>
      <c r="H103" s="6"/>
      <c r="I103" s="1163">
        <f t="shared" si="56"/>
        <v>7129106.3999999994</v>
      </c>
      <c r="J103" s="1163">
        <f t="shared" si="56"/>
        <v>0</v>
      </c>
      <c r="K103" s="1163">
        <f t="shared" si="56"/>
        <v>38763.885000000002</v>
      </c>
      <c r="L103" s="6"/>
      <c r="M103" s="1163">
        <f t="shared" si="56"/>
        <v>9135365.6999999993</v>
      </c>
      <c r="N103" s="1163">
        <f t="shared" si="56"/>
        <v>0</v>
      </c>
      <c r="O103" s="1163">
        <f t="shared" si="56"/>
        <v>29822.720000000001</v>
      </c>
      <c r="P103" s="6"/>
      <c r="Q103" s="1163">
        <f t="shared" si="56"/>
        <v>5122847.0999999996</v>
      </c>
      <c r="R103" s="1163">
        <f t="shared" si="56"/>
        <v>0</v>
      </c>
      <c r="S103" s="1163">
        <f t="shared" si="56"/>
        <v>47705.05</v>
      </c>
      <c r="T103" s="6"/>
      <c r="IV103" s="1107"/>
    </row>
    <row r="104" spans="1:256">
      <c r="I104" s="1107"/>
    </row>
    <row r="108" spans="1:256">
      <c r="S108" s="1107"/>
    </row>
    <row r="135" spans="7:7">
      <c r="G135"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E13" zoomScaleNormal="100" workbookViewId="0">
      <selection activeCell="D263" sqref="D263"/>
    </sheetView>
  </sheetViews>
  <sheetFormatPr defaultColWidth="10" defaultRowHeight="12"/>
  <cols>
    <col min="1" max="1" width="9.42578125" style="1337" customWidth="1"/>
    <col min="2" max="2" width="20.85546875" style="1338" customWidth="1"/>
    <col min="3" max="3" width="35.5703125" style="1337" customWidth="1"/>
    <col min="4" max="4" width="12.85546875" style="1337" customWidth="1"/>
    <col min="5" max="5" width="10.42578125" style="1337" customWidth="1"/>
    <col min="6" max="6" width="16.42578125" style="1337" customWidth="1"/>
    <col min="7" max="7" width="12" style="1337" customWidth="1"/>
    <col min="8" max="8" width="14.28515625" style="1337" bestFit="1" customWidth="1"/>
    <col min="9" max="9" width="18.85546875" style="1337" customWidth="1"/>
    <col min="10" max="10" width="15.5703125" style="1337" customWidth="1"/>
    <col min="11" max="11" width="16.140625" style="1337" customWidth="1"/>
    <col min="12" max="13" width="15" style="1337" customWidth="1"/>
    <col min="14" max="14" width="13.5703125" style="1337" customWidth="1"/>
    <col min="15" max="15" width="15" style="1337" customWidth="1"/>
    <col min="16" max="17" width="17.5703125" style="1337" customWidth="1"/>
    <col min="18" max="18" width="33" style="1337" customWidth="1"/>
    <col min="19" max="19" width="15" style="1337" customWidth="1"/>
    <col min="20" max="21" width="14.5703125" style="1337" bestFit="1" customWidth="1"/>
    <col min="22" max="22" width="10.5703125" style="1337" bestFit="1" customWidth="1"/>
    <col min="23" max="16384" width="10" style="1337"/>
  </cols>
  <sheetData>
    <row r="1" spans="1:23" ht="15">
      <c r="A1" s="1346" t="s">
        <v>1146</v>
      </c>
      <c r="B1" s="1345"/>
      <c r="C1" s="1345"/>
      <c r="D1" s="1345"/>
      <c r="E1" s="1345"/>
      <c r="F1" s="1345"/>
      <c r="G1" s="1345"/>
      <c r="H1" s="1345"/>
      <c r="I1" s="1345"/>
      <c r="J1" s="1345"/>
      <c r="K1" s="1345"/>
      <c r="L1" s="1345"/>
      <c r="M1" s="1345"/>
      <c r="N1" s="1345"/>
      <c r="O1" s="1345"/>
      <c r="P1" s="1345"/>
      <c r="Q1" s="1345"/>
      <c r="R1" s="1406"/>
      <c r="S1" s="1345"/>
      <c r="T1" s="1345"/>
      <c r="U1" s="1345"/>
      <c r="V1" s="1345"/>
      <c r="W1" s="1345"/>
    </row>
    <row r="2" spans="1:23" ht="15">
      <c r="A2" s="1419" t="s">
        <v>1147</v>
      </c>
      <c r="B2" s="1345"/>
      <c r="C2" s="1345"/>
      <c r="D2" s="1345"/>
      <c r="E2" s="1345"/>
      <c r="F2" s="1345"/>
      <c r="G2" s="1345"/>
      <c r="H2" s="1345"/>
      <c r="I2" s="1345"/>
      <c r="J2" s="1345"/>
      <c r="K2" s="1345"/>
      <c r="L2" s="1345"/>
      <c r="M2" s="1345"/>
      <c r="N2" s="1345"/>
      <c r="O2" s="1345"/>
      <c r="P2" s="1345"/>
      <c r="Q2" s="1345"/>
      <c r="R2" s="1406"/>
      <c r="S2" s="1345"/>
      <c r="T2" s="1345"/>
      <c r="U2" s="1345"/>
      <c r="V2" s="1348"/>
      <c r="W2" s="1345"/>
    </row>
    <row r="3" spans="1:23" ht="15">
      <c r="A3" s="1346" t="s">
        <v>1148</v>
      </c>
      <c r="B3" s="1345"/>
      <c r="C3" s="1345"/>
      <c r="D3" s="1345"/>
      <c r="E3" s="1345"/>
      <c r="F3" s="1345"/>
      <c r="G3" s="1345"/>
      <c r="H3" s="1345"/>
      <c r="I3" s="1345"/>
      <c r="J3" s="1345"/>
      <c r="K3" s="1345"/>
      <c r="L3" s="1345"/>
      <c r="M3" s="1345"/>
      <c r="N3" s="1345"/>
      <c r="O3" s="1345"/>
      <c r="P3" s="1345"/>
      <c r="Q3" s="1345"/>
      <c r="R3" s="1406"/>
      <c r="S3" s="1345"/>
      <c r="T3" s="1345"/>
      <c r="U3" s="1345"/>
      <c r="V3" s="1349"/>
      <c r="W3" s="1345"/>
    </row>
    <row r="4" spans="1:23" ht="15">
      <c r="A4" s="1346" t="s">
        <v>1288</v>
      </c>
      <c r="B4" s="1345"/>
      <c r="C4" s="1345"/>
      <c r="D4" s="1345"/>
      <c r="E4" s="1345"/>
      <c r="F4" s="1345"/>
      <c r="G4" s="1350"/>
      <c r="H4" s="1345"/>
      <c r="I4" s="1345"/>
      <c r="J4" s="1345"/>
      <c r="K4" s="1345"/>
      <c r="L4" s="1345"/>
      <c r="M4" s="1345"/>
      <c r="N4" s="1345"/>
      <c r="O4" s="1345"/>
      <c r="P4" s="1345"/>
      <c r="Q4" s="1345"/>
      <c r="R4" s="1345"/>
      <c r="S4" s="1345"/>
      <c r="T4" s="1345"/>
      <c r="U4" s="1345"/>
      <c r="V4" s="1345"/>
      <c r="W4" s="1345"/>
    </row>
    <row r="5" spans="1:23" ht="15">
      <c r="A5" s="1346" t="s">
        <v>1149</v>
      </c>
      <c r="B5" s="1345"/>
      <c r="C5" s="1345"/>
      <c r="D5" s="1345"/>
      <c r="E5" s="1345"/>
      <c r="F5" s="1345"/>
      <c r="G5" s="1345"/>
      <c r="H5" s="1345"/>
      <c r="I5" s="1351"/>
      <c r="J5" s="1351"/>
      <c r="K5" s="1345"/>
      <c r="L5" s="1345"/>
      <c r="M5" s="1345"/>
      <c r="N5" s="1345"/>
      <c r="O5" s="1345"/>
      <c r="P5" s="1351"/>
      <c r="Q5" s="1351"/>
      <c r="R5" s="1345"/>
      <c r="S5" s="1345"/>
      <c r="T5" s="1345"/>
      <c r="U5" s="1345"/>
      <c r="V5" s="1345"/>
      <c r="W5" s="1345"/>
    </row>
    <row r="6" spans="1:23" ht="15">
      <c r="A6" s="1345"/>
      <c r="B6" s="1345"/>
      <c r="C6" s="1345"/>
      <c r="D6" s="1345"/>
      <c r="E6" s="1345"/>
      <c r="F6" s="1345"/>
      <c r="G6" s="1345"/>
      <c r="H6" s="1345"/>
      <c r="I6" s="1345"/>
      <c r="J6" s="1351"/>
      <c r="K6" s="1352"/>
      <c r="L6" s="1347"/>
      <c r="M6" s="1347"/>
      <c r="N6" s="1347"/>
      <c r="O6" s="1347"/>
      <c r="P6" s="1347"/>
      <c r="Q6" s="1347"/>
      <c r="R6" s="1345"/>
      <c r="S6" s="1345"/>
      <c r="T6" s="1345"/>
      <c r="U6" s="1345"/>
      <c r="V6" s="1345"/>
      <c r="W6" s="1345"/>
    </row>
    <row r="7" spans="1:23" ht="15">
      <c r="A7" s="1345"/>
      <c r="B7" s="1353"/>
      <c r="C7" s="1353"/>
      <c r="D7" s="1353"/>
      <c r="E7" s="1353"/>
      <c r="F7" s="1353"/>
      <c r="G7" s="1353"/>
      <c r="H7" s="1353"/>
      <c r="I7" s="1353"/>
      <c r="J7" s="1353"/>
      <c r="K7" s="1353"/>
      <c r="L7" s="1353"/>
      <c r="M7" s="1353"/>
      <c r="N7" s="1353"/>
      <c r="O7" s="1353"/>
      <c r="P7" s="1353"/>
      <c r="Q7" s="1347"/>
      <c r="R7" s="1345"/>
      <c r="S7" s="1345"/>
      <c r="T7" s="1345"/>
      <c r="U7" s="1345"/>
      <c r="V7" s="1345"/>
      <c r="W7" s="1345"/>
    </row>
    <row r="8" spans="1:23" ht="15">
      <c r="A8" s="1347" t="s">
        <v>150</v>
      </c>
      <c r="B8" s="1347" t="s">
        <v>151</v>
      </c>
      <c r="C8" s="1347" t="s">
        <v>152</v>
      </c>
      <c r="D8" s="1347" t="s">
        <v>153</v>
      </c>
      <c r="E8" s="1347" t="s">
        <v>154</v>
      </c>
      <c r="F8" s="1347" t="s">
        <v>155</v>
      </c>
      <c r="G8" s="1347" t="s">
        <v>156</v>
      </c>
      <c r="H8" s="1347" t="s">
        <v>157</v>
      </c>
      <c r="I8" s="1347" t="s">
        <v>1150</v>
      </c>
      <c r="J8" s="1347" t="s">
        <v>1151</v>
      </c>
      <c r="K8" s="1347" t="s">
        <v>160</v>
      </c>
      <c r="L8" s="1347" t="s">
        <v>161</v>
      </c>
      <c r="M8" s="1347" t="s">
        <v>162</v>
      </c>
      <c r="N8" s="1347" t="s">
        <v>247</v>
      </c>
      <c r="O8" s="1347" t="s">
        <v>306</v>
      </c>
      <c r="P8" s="1347" t="s">
        <v>352</v>
      </c>
      <c r="Q8" s="1347" t="s">
        <v>353</v>
      </c>
      <c r="R8" s="1347" t="s">
        <v>354</v>
      </c>
      <c r="S8" s="1345"/>
      <c r="T8" s="1345"/>
      <c r="U8" s="1345"/>
      <c r="V8" s="1345"/>
      <c r="W8" s="1345"/>
    </row>
    <row r="9" spans="1:23" ht="14.45" customHeight="1">
      <c r="A9" s="1346" t="s">
        <v>1152</v>
      </c>
      <c r="B9" s="1355"/>
      <c r="C9" s="1355"/>
      <c r="D9" s="1355"/>
      <c r="E9" s="1355"/>
      <c r="F9" s="1345"/>
      <c r="G9" s="1345"/>
      <c r="H9" s="1345"/>
      <c r="I9" s="1516" t="s">
        <v>1289</v>
      </c>
      <c r="J9" s="1516"/>
      <c r="K9" s="1517" t="s">
        <v>1153</v>
      </c>
      <c r="L9" s="1517"/>
      <c r="M9" s="1517"/>
      <c r="N9" s="1518" t="s">
        <v>1154</v>
      </c>
      <c r="O9" s="1518"/>
      <c r="P9" s="1516" t="s">
        <v>1290</v>
      </c>
      <c r="Q9" s="1516"/>
      <c r="R9" s="1345"/>
      <c r="S9" s="1345"/>
      <c r="T9" s="1345"/>
      <c r="U9" s="1345"/>
      <c r="V9" s="1345"/>
      <c r="W9" s="1345"/>
    </row>
    <row r="10" spans="1:23" ht="48">
      <c r="A10" s="1356" t="s">
        <v>1155</v>
      </c>
      <c r="B10" s="1357" t="s">
        <v>1156</v>
      </c>
      <c r="C10" s="1357" t="s">
        <v>1157</v>
      </c>
      <c r="D10" s="1358" t="s">
        <v>1158</v>
      </c>
      <c r="E10" s="1358" t="s">
        <v>1159</v>
      </c>
      <c r="F10" s="1358" t="s">
        <v>1225</v>
      </c>
      <c r="G10" s="1358" t="s">
        <v>1226</v>
      </c>
      <c r="H10" s="1358" t="s">
        <v>1160</v>
      </c>
      <c r="I10" s="1359" t="s">
        <v>1161</v>
      </c>
      <c r="J10" s="1359" t="s">
        <v>1162</v>
      </c>
      <c r="K10" s="1360" t="s">
        <v>1163</v>
      </c>
      <c r="L10" s="1360">
        <v>182.3</v>
      </c>
      <c r="M10" s="1360">
        <v>254</v>
      </c>
      <c r="N10" s="1360" t="s">
        <v>1227</v>
      </c>
      <c r="O10" s="1360" t="s">
        <v>1164</v>
      </c>
      <c r="P10" s="1359" t="s">
        <v>1161</v>
      </c>
      <c r="Q10" s="1359" t="s">
        <v>1162</v>
      </c>
      <c r="R10" s="1361" t="s">
        <v>1165</v>
      </c>
      <c r="S10" s="1398"/>
      <c r="T10" s="1345"/>
      <c r="U10" s="1345"/>
      <c r="V10" s="1345"/>
      <c r="W10" s="1345"/>
    </row>
    <row r="11" spans="1:23" ht="15">
      <c r="A11" s="1345"/>
      <c r="B11" s="1346"/>
      <c r="C11" s="1345"/>
      <c r="D11" s="1363"/>
      <c r="E11" s="1363"/>
      <c r="F11" s="1363"/>
      <c r="G11" s="1363"/>
      <c r="H11" s="1363"/>
      <c r="I11" s="1362"/>
      <c r="J11" s="1362"/>
      <c r="K11" s="1362"/>
      <c r="L11" s="1362"/>
      <c r="M11" s="1362"/>
      <c r="N11" s="1362"/>
      <c r="O11" s="1362"/>
      <c r="P11" s="1512" t="s">
        <v>1166</v>
      </c>
      <c r="Q11" s="1512"/>
      <c r="R11" s="1418"/>
      <c r="S11" s="1398"/>
      <c r="T11" s="1345"/>
      <c r="U11" s="1345"/>
      <c r="V11" s="1345"/>
      <c r="W11" s="1345"/>
    </row>
    <row r="12" spans="1:23" ht="15">
      <c r="A12" s="1345"/>
      <c r="B12" s="1364" t="s">
        <v>1167</v>
      </c>
      <c r="C12" s="1365"/>
      <c r="D12" s="1365"/>
      <c r="E12" s="1365"/>
      <c r="F12" s="1365"/>
      <c r="G12" s="1365"/>
      <c r="H12" s="1365"/>
      <c r="I12" s="1365"/>
      <c r="J12" s="1365"/>
      <c r="K12" s="1365"/>
      <c r="L12" s="1365"/>
      <c r="M12" s="1365"/>
      <c r="N12" s="1365"/>
      <c r="O12" s="1365"/>
      <c r="P12" s="1365"/>
      <c r="Q12" s="1365"/>
      <c r="R12" s="1349"/>
      <c r="S12" s="1379"/>
      <c r="T12" s="1349"/>
      <c r="U12" s="1349"/>
      <c r="V12" s="1349"/>
      <c r="W12" s="1349"/>
    </row>
    <row r="13" spans="1:23">
      <c r="A13" s="1346" t="s">
        <v>1168</v>
      </c>
      <c r="B13" s="1401" t="s">
        <v>1169</v>
      </c>
      <c r="C13" s="1346" t="s">
        <v>1170</v>
      </c>
      <c r="D13" s="1367" t="s">
        <v>1171</v>
      </c>
      <c r="E13" s="1367" t="s">
        <v>1172</v>
      </c>
      <c r="F13" s="1368"/>
      <c r="G13" s="1367"/>
      <c r="H13" s="1367"/>
      <c r="I13" s="1408">
        <v>66166818</v>
      </c>
      <c r="J13" s="1409" t="s">
        <v>116</v>
      </c>
      <c r="K13" s="1408"/>
      <c r="L13" s="1408"/>
      <c r="M13" s="1408">
        <v>-3641002</v>
      </c>
      <c r="N13" s="1408"/>
      <c r="O13" s="1408"/>
      <c r="P13" s="1410">
        <f>SUM(I13:O13)</f>
        <v>62525816</v>
      </c>
      <c r="Q13" s="1411" t="s">
        <v>116</v>
      </c>
      <c r="R13" s="1373" t="s">
        <v>1291</v>
      </c>
      <c r="S13" s="1379"/>
      <c r="T13" s="1349"/>
      <c r="U13" s="1349"/>
      <c r="V13" s="1349"/>
      <c r="W13" s="1349"/>
    </row>
    <row r="14" spans="1:23" s="1341" customFormat="1">
      <c r="A14" s="1367" t="s">
        <v>1173</v>
      </c>
      <c r="B14" s="1401" t="s">
        <v>1174</v>
      </c>
      <c r="C14" s="1407" t="s">
        <v>1175</v>
      </c>
      <c r="D14" s="1407" t="s">
        <v>1176</v>
      </c>
      <c r="E14" s="1367" t="s">
        <v>1172</v>
      </c>
      <c r="F14" s="1374">
        <v>-22201492</v>
      </c>
      <c r="G14" s="1367"/>
      <c r="H14" s="1367"/>
      <c r="I14" s="1382"/>
      <c r="J14" s="1373">
        <v>-19624153</v>
      </c>
      <c r="K14" s="1369"/>
      <c r="L14" s="1369"/>
      <c r="M14" s="1369"/>
      <c r="N14" s="1369">
        <v>591471</v>
      </c>
      <c r="O14" s="1369">
        <v>1338205</v>
      </c>
      <c r="P14" s="1372"/>
      <c r="Q14" s="1410">
        <f>SUM(I14:O14)</f>
        <v>-17694477</v>
      </c>
      <c r="R14" s="1373" t="s">
        <v>641</v>
      </c>
      <c r="S14" s="1379"/>
      <c r="T14" s="1414"/>
      <c r="U14" s="1414"/>
      <c r="V14" s="1414"/>
      <c r="W14" s="1414"/>
    </row>
    <row r="15" spans="1:23" s="1341" customFormat="1">
      <c r="A15" s="1367" t="s">
        <v>1177</v>
      </c>
      <c r="B15" s="1401" t="s">
        <v>1178</v>
      </c>
      <c r="C15" s="1407" t="s">
        <v>1179</v>
      </c>
      <c r="D15" s="1407" t="s">
        <v>1176</v>
      </c>
      <c r="E15" s="1367" t="s">
        <v>1172</v>
      </c>
      <c r="F15" s="1368"/>
      <c r="G15" s="1367"/>
      <c r="H15" s="1367"/>
      <c r="I15" s="1373">
        <v>19624152</v>
      </c>
      <c r="J15" s="1382"/>
      <c r="K15" s="1369"/>
      <c r="L15" s="1369"/>
      <c r="M15" s="1369">
        <v>-1929675</v>
      </c>
      <c r="N15" s="1369"/>
      <c r="O15" s="1369"/>
      <c r="P15" s="1410">
        <f>SUM(I15:O15)</f>
        <v>17694477</v>
      </c>
      <c r="Q15" s="1372"/>
      <c r="R15" s="1373" t="s">
        <v>1248</v>
      </c>
      <c r="S15" s="1379"/>
      <c r="T15" s="1414"/>
      <c r="U15" s="1414"/>
      <c r="V15" s="1414"/>
      <c r="W15" s="1414"/>
    </row>
    <row r="16" spans="1:23">
      <c r="A16" s="1346" t="s">
        <v>1180</v>
      </c>
      <c r="B16" s="1401" t="s">
        <v>1181</v>
      </c>
      <c r="C16" s="1346" t="s">
        <v>1182</v>
      </c>
      <c r="D16" s="1367" t="s">
        <v>1176</v>
      </c>
      <c r="E16" s="1367" t="s">
        <v>1172</v>
      </c>
      <c r="F16" s="1374">
        <v>-92216055</v>
      </c>
      <c r="G16" s="1375" t="s">
        <v>1183</v>
      </c>
      <c r="H16" s="1375" t="s">
        <v>1184</v>
      </c>
      <c r="I16" s="1382" t="s">
        <v>116</v>
      </c>
      <c r="J16" s="1412">
        <v>-76081223</v>
      </c>
      <c r="K16" s="1412"/>
      <c r="L16" s="1412"/>
      <c r="M16" s="1412"/>
      <c r="N16" s="1412">
        <v>2982661</v>
      </c>
      <c r="O16" s="1412">
        <v>-1073264</v>
      </c>
      <c r="P16" s="1413" t="s">
        <v>116</v>
      </c>
      <c r="Q16" s="1410">
        <f>SUM(I16:O16)</f>
        <v>-74171826</v>
      </c>
      <c r="R16" s="1519" t="s">
        <v>1298</v>
      </c>
      <c r="S16" s="1379"/>
      <c r="T16" s="1349"/>
      <c r="U16" s="1349"/>
      <c r="V16" s="1349"/>
      <c r="W16" s="1349"/>
    </row>
    <row r="17" spans="1:23">
      <c r="A17" s="1346" t="s">
        <v>1185</v>
      </c>
      <c r="B17" s="1401" t="s">
        <v>1181</v>
      </c>
      <c r="C17" s="1346" t="s">
        <v>1182</v>
      </c>
      <c r="D17" s="1367" t="s">
        <v>1186</v>
      </c>
      <c r="E17" s="1367" t="s">
        <v>1172</v>
      </c>
      <c r="F17" s="1377">
        <v>-58572784</v>
      </c>
      <c r="G17" s="1375" t="s">
        <v>1187</v>
      </c>
      <c r="H17" s="1375" t="s">
        <v>1188</v>
      </c>
      <c r="I17" s="1382"/>
      <c r="J17" s="1369">
        <v>-62745086</v>
      </c>
      <c r="K17" s="1369"/>
      <c r="L17" s="1369"/>
      <c r="M17" s="1369"/>
      <c r="N17" s="1369">
        <v>3600350</v>
      </c>
      <c r="O17" s="1369">
        <v>175988</v>
      </c>
      <c r="P17" s="1376"/>
      <c r="Q17" s="1410">
        <f>SUM(I17:O17)</f>
        <v>-58968748</v>
      </c>
      <c r="R17" s="1519"/>
      <c r="S17" s="1379"/>
      <c r="T17" s="1349"/>
      <c r="U17" s="1349"/>
      <c r="V17" s="1349"/>
      <c r="W17" s="1349"/>
    </row>
    <row r="18" spans="1:23">
      <c r="A18" s="1346" t="s">
        <v>1189</v>
      </c>
      <c r="B18" s="1401" t="s">
        <v>1190</v>
      </c>
      <c r="C18" s="1346" t="s">
        <v>1191</v>
      </c>
      <c r="D18" s="1367" t="s">
        <v>1176</v>
      </c>
      <c r="E18" s="1367" t="s">
        <v>1172</v>
      </c>
      <c r="F18" s="1377"/>
      <c r="G18" s="1375"/>
      <c r="H18" s="1375"/>
      <c r="I18" s="1369">
        <v>76081223</v>
      </c>
      <c r="J18" s="1382"/>
      <c r="K18" s="1369"/>
      <c r="L18" s="1369"/>
      <c r="M18" s="1369">
        <v>-150644</v>
      </c>
      <c r="N18" s="1369"/>
      <c r="O18" s="1369"/>
      <c r="P18" s="1410">
        <f>SUM(I18:O18)</f>
        <v>75930579</v>
      </c>
      <c r="Q18" s="1370"/>
      <c r="R18" s="1513" t="s">
        <v>1293</v>
      </c>
      <c r="S18" s="1379"/>
      <c r="T18" s="1349"/>
      <c r="U18" s="1349"/>
      <c r="V18" s="1349"/>
      <c r="W18" s="1349"/>
    </row>
    <row r="19" spans="1:23">
      <c r="A19" s="1346" t="s">
        <v>1192</v>
      </c>
      <c r="B19" s="1401" t="s">
        <v>1190</v>
      </c>
      <c r="C19" s="1346" t="s">
        <v>1191</v>
      </c>
      <c r="D19" s="1367" t="s">
        <v>1186</v>
      </c>
      <c r="E19" s="1367" t="s">
        <v>1172</v>
      </c>
      <c r="F19" s="1377"/>
      <c r="G19" s="1375"/>
      <c r="H19" s="1375"/>
      <c r="I19" s="1369">
        <v>62745086</v>
      </c>
      <c r="J19" s="1382"/>
      <c r="K19" s="1369"/>
      <c r="L19" s="1369"/>
      <c r="M19" s="1369">
        <v>-5535094</v>
      </c>
      <c r="N19" s="1369"/>
      <c r="O19" s="1369"/>
      <c r="P19" s="1410">
        <f>SUM(I19:O19)</f>
        <v>57209992</v>
      </c>
      <c r="Q19" s="1370"/>
      <c r="R19" s="1513"/>
      <c r="S19" s="1379"/>
      <c r="T19" s="1349"/>
      <c r="U19" s="1349"/>
      <c r="V19" s="1349"/>
      <c r="W19" s="1349"/>
    </row>
    <row r="20" spans="1:23">
      <c r="A20" s="1346" t="s">
        <v>1193</v>
      </c>
      <c r="B20" s="1401" t="s">
        <v>1194</v>
      </c>
      <c r="C20" s="1346" t="s">
        <v>1195</v>
      </c>
      <c r="D20" s="1367" t="s">
        <v>1186</v>
      </c>
      <c r="E20" s="1367" t="s">
        <v>1172</v>
      </c>
      <c r="F20" s="1377">
        <v>-39072283</v>
      </c>
      <c r="G20" s="1375" t="s">
        <v>1187</v>
      </c>
      <c r="H20" s="1375" t="s">
        <v>1188</v>
      </c>
      <c r="I20" s="1382" t="s">
        <v>116</v>
      </c>
      <c r="J20" s="1369">
        <v>-31622375</v>
      </c>
      <c r="K20" s="1369"/>
      <c r="L20" s="1369"/>
      <c r="M20" s="1369"/>
      <c r="N20" s="1369">
        <v>1118456</v>
      </c>
      <c r="O20" s="1369">
        <v>-175992</v>
      </c>
      <c r="P20" s="1376" t="s">
        <v>116</v>
      </c>
      <c r="Q20" s="1410">
        <f>SUM(I20:O20)</f>
        <v>-30679911</v>
      </c>
      <c r="R20" s="1373" t="s">
        <v>1294</v>
      </c>
      <c r="S20" s="1379"/>
      <c r="T20" s="1349"/>
      <c r="U20" s="1349"/>
      <c r="V20" s="1349"/>
      <c r="W20" s="1349"/>
    </row>
    <row r="21" spans="1:23">
      <c r="A21" s="1346" t="s">
        <v>1196</v>
      </c>
      <c r="B21" s="1402" t="s">
        <v>1197</v>
      </c>
      <c r="C21" s="1346" t="s">
        <v>1198</v>
      </c>
      <c r="D21" s="1367" t="s">
        <v>1186</v>
      </c>
      <c r="E21" s="1367" t="s">
        <v>1172</v>
      </c>
      <c r="F21" s="1374"/>
      <c r="G21" s="1375"/>
      <c r="H21" s="1375"/>
      <c r="I21" s="1369">
        <v>34002543</v>
      </c>
      <c r="J21" s="1370"/>
      <c r="K21" s="1369"/>
      <c r="L21" s="1369">
        <v>-2380169</v>
      </c>
      <c r="M21" s="1369">
        <v>-942463</v>
      </c>
      <c r="N21" s="1369"/>
      <c r="O21" s="1369"/>
      <c r="P21" s="1410">
        <f>SUM(I21:O21)</f>
        <v>30679911</v>
      </c>
      <c r="Q21" s="1376"/>
      <c r="R21" s="1403" t="s">
        <v>1295</v>
      </c>
      <c r="S21" s="1379"/>
      <c r="T21" s="1349"/>
      <c r="U21" s="1349"/>
      <c r="V21" s="1349"/>
      <c r="W21" s="1349"/>
    </row>
    <row r="22" spans="1:23" ht="15">
      <c r="A22" s="1346" t="s">
        <v>1199</v>
      </c>
      <c r="B22" s="1354" t="s">
        <v>1228</v>
      </c>
      <c r="C22" s="1345"/>
      <c r="D22" s="1367"/>
      <c r="E22" s="1367"/>
      <c r="F22" s="1374"/>
      <c r="G22" s="1375"/>
      <c r="H22" s="1375"/>
      <c r="I22" s="1369"/>
      <c r="J22" s="1369"/>
      <c r="K22" s="1369"/>
      <c r="L22" s="1369"/>
      <c r="M22" s="1369"/>
      <c r="N22" s="1369"/>
      <c r="O22" s="1369"/>
      <c r="P22" s="1372"/>
      <c r="Q22" s="1371"/>
      <c r="R22" s="1403"/>
      <c r="S22" s="1379"/>
      <c r="T22" s="1349"/>
      <c r="U22" s="1349"/>
      <c r="V22" s="1349"/>
      <c r="W22" s="1349"/>
    </row>
    <row r="23" spans="1:23" ht="15">
      <c r="A23" s="1345"/>
      <c r="B23" s="1404"/>
      <c r="C23" s="1404"/>
      <c r="D23" s="1404"/>
      <c r="E23" s="1404"/>
      <c r="F23" s="1404"/>
      <c r="G23" s="1404"/>
      <c r="H23" s="1404"/>
      <c r="I23" s="1404"/>
      <c r="J23" s="1404"/>
      <c r="K23" s="1404"/>
      <c r="L23" s="1404"/>
      <c r="M23" s="1404"/>
      <c r="N23" s="1345"/>
      <c r="O23" s="1345"/>
      <c r="P23" s="1416"/>
      <c r="Q23" s="1345"/>
      <c r="R23" s="1345"/>
      <c r="S23" s="1379"/>
      <c r="T23" s="1349"/>
      <c r="U23" s="1349"/>
      <c r="V23" s="1349"/>
      <c r="W23" s="1349"/>
    </row>
    <row r="24" spans="1:23" s="1339" customFormat="1">
      <c r="A24" s="1346"/>
      <c r="B24" s="1364" t="s">
        <v>1200</v>
      </c>
      <c r="C24" s="1349"/>
      <c r="D24" s="1349"/>
      <c r="E24" s="1349"/>
      <c r="F24" s="1349"/>
      <c r="G24" s="1349"/>
      <c r="H24" s="1349"/>
      <c r="I24" s="1349"/>
      <c r="J24" s="1349"/>
      <c r="K24" s="1349"/>
      <c r="L24" s="1349"/>
      <c r="M24" s="1349"/>
      <c r="N24" s="1349"/>
      <c r="O24" s="1349"/>
      <c r="P24" s="1349"/>
      <c r="Q24" s="1379"/>
      <c r="R24" s="1415"/>
      <c r="S24" s="1379"/>
      <c r="T24" s="1349"/>
      <c r="U24" s="1349"/>
      <c r="V24" s="1349"/>
      <c r="W24" s="1349"/>
    </row>
    <row r="25" spans="1:23" ht="11.45" customHeight="1">
      <c r="A25" s="1346" t="s">
        <v>1201</v>
      </c>
      <c r="B25" s="1366">
        <v>182.3</v>
      </c>
      <c r="C25" s="1381" t="s">
        <v>1202</v>
      </c>
      <c r="D25" s="1382" t="s">
        <v>116</v>
      </c>
      <c r="E25" s="1367" t="s">
        <v>1172</v>
      </c>
      <c r="F25" s="1382"/>
      <c r="G25" s="1382" t="s">
        <v>116</v>
      </c>
      <c r="H25" s="1382"/>
      <c r="I25" s="1383">
        <v>-2380169</v>
      </c>
      <c r="J25" s="1382"/>
      <c r="K25" s="1369"/>
      <c r="L25" s="1369">
        <v>2380169</v>
      </c>
      <c r="M25" s="1369"/>
      <c r="N25" s="1382"/>
      <c r="O25" s="1382"/>
      <c r="P25" s="1410">
        <f>SUM(I25:O25)</f>
        <v>0</v>
      </c>
      <c r="Q25" s="1378"/>
      <c r="R25" s="1373" t="s">
        <v>1203</v>
      </c>
      <c r="S25" s="1379"/>
      <c r="T25" s="1349"/>
      <c r="U25" s="1349"/>
      <c r="V25" s="1349"/>
      <c r="W25" s="1349"/>
    </row>
    <row r="26" spans="1:23" ht="11.45" customHeight="1">
      <c r="A26" s="1346" t="s">
        <v>1204</v>
      </c>
      <c r="B26" s="1366">
        <v>254</v>
      </c>
      <c r="C26" s="1381" t="s">
        <v>1205</v>
      </c>
      <c r="D26" s="1382" t="s">
        <v>116</v>
      </c>
      <c r="E26" s="1367" t="s">
        <v>1172</v>
      </c>
      <c r="F26" s="1382"/>
      <c r="G26" s="1382" t="s">
        <v>116</v>
      </c>
      <c r="H26" s="1382"/>
      <c r="I26" s="1383">
        <v>-256239655</v>
      </c>
      <c r="J26" s="1382"/>
      <c r="K26" s="1369"/>
      <c r="L26" s="1369"/>
      <c r="M26" s="1369">
        <f>3641002+1929675+150644+5535094+942463</f>
        <v>12198878</v>
      </c>
      <c r="N26" s="1382"/>
      <c r="O26" s="1382"/>
      <c r="P26" s="1410">
        <f>SUM(I26:O26)</f>
        <v>-244040777</v>
      </c>
      <c r="Q26" s="1378"/>
      <c r="R26" s="1373" t="s">
        <v>1206</v>
      </c>
      <c r="S26" s="1379"/>
      <c r="T26" s="1349"/>
      <c r="U26" s="1349"/>
      <c r="V26" s="1349"/>
      <c r="W26" s="1349"/>
    </row>
    <row r="27" spans="1:23" ht="11.45" customHeight="1">
      <c r="A27" s="1346" t="s">
        <v>1207</v>
      </c>
      <c r="B27" s="1354" t="s">
        <v>1228</v>
      </c>
      <c r="C27" s="1381"/>
      <c r="D27" s="1382"/>
      <c r="E27" s="1367"/>
      <c r="F27" s="1382"/>
      <c r="G27" s="1382"/>
      <c r="H27" s="1382"/>
      <c r="I27" s="1369"/>
      <c r="J27" s="1382"/>
      <c r="K27" s="1369"/>
      <c r="L27" s="1369"/>
      <c r="M27" s="1369"/>
      <c r="N27" s="1382"/>
      <c r="O27" s="1382"/>
      <c r="P27" s="1378"/>
      <c r="Q27" s="1378"/>
      <c r="R27" s="1373"/>
      <c r="S27" s="1379"/>
      <c r="T27" s="1349"/>
      <c r="U27" s="1349"/>
      <c r="V27" s="1349"/>
      <c r="W27" s="1349"/>
    </row>
    <row r="28" spans="1:23" ht="15">
      <c r="A28" s="1345"/>
      <c r="B28" s="1366"/>
      <c r="C28" s="1381"/>
      <c r="D28" s="1353"/>
      <c r="E28" s="1353"/>
      <c r="F28" s="1353"/>
      <c r="G28" s="1353"/>
      <c r="H28" s="1353"/>
      <c r="I28" s="1353"/>
      <c r="J28" s="1353"/>
      <c r="K28" s="1353"/>
      <c r="L28" s="1353"/>
      <c r="M28" s="1353"/>
      <c r="N28" s="1353"/>
      <c r="O28" s="1353"/>
      <c r="P28" s="1353"/>
      <c r="Q28" s="1353"/>
      <c r="R28" s="1384"/>
      <c r="S28" s="1379"/>
      <c r="T28" s="1349"/>
      <c r="U28" s="1349"/>
      <c r="V28" s="1349"/>
      <c r="W28" s="1349"/>
    </row>
    <row r="29" spans="1:23" ht="12.75" customHeight="1" thickBot="1">
      <c r="A29" s="1397">
        <v>3</v>
      </c>
      <c r="B29" s="1511" t="s">
        <v>1229</v>
      </c>
      <c r="C29" s="1511"/>
      <c r="D29" s="1382"/>
      <c r="E29" s="1382"/>
      <c r="F29" s="1382"/>
      <c r="G29" s="1382"/>
      <c r="H29" s="1382"/>
      <c r="I29" s="1385">
        <f>SUM(I13:I27)</f>
        <v>-2</v>
      </c>
      <c r="J29" s="1385">
        <f t="shared" ref="J29:Q29" si="0">SUM(J13:J27)</f>
        <v>-190072837</v>
      </c>
      <c r="K29" s="1385">
        <f t="shared" si="0"/>
        <v>0</v>
      </c>
      <c r="L29" s="1385">
        <f t="shared" si="0"/>
        <v>0</v>
      </c>
      <c r="M29" s="1385">
        <f t="shared" si="0"/>
        <v>0</v>
      </c>
      <c r="N29" s="1385">
        <f>-SUM(N13:N27)</f>
        <v>-8292938</v>
      </c>
      <c r="O29" s="1385">
        <f>-SUM(O13:O27)</f>
        <v>-264937</v>
      </c>
      <c r="P29" s="1385">
        <f t="shared" si="0"/>
        <v>-2</v>
      </c>
      <c r="Q29" s="1385">
        <f t="shared" si="0"/>
        <v>-181514962</v>
      </c>
      <c r="R29" s="1386"/>
      <c r="S29" s="1379"/>
      <c r="T29" s="1349"/>
      <c r="U29" s="1349"/>
      <c r="V29" s="1349"/>
      <c r="W29" s="1349"/>
    </row>
    <row r="30" spans="1:23" ht="15.75" thickTop="1">
      <c r="A30" s="1345"/>
      <c r="B30" s="1366"/>
      <c r="C30" s="1381"/>
      <c r="D30" s="1353"/>
      <c r="E30" s="1353"/>
      <c r="F30" s="1353"/>
      <c r="G30" s="1353"/>
      <c r="H30" s="1353"/>
      <c r="I30" s="1387"/>
      <c r="J30" s="1377"/>
      <c r="K30" s="1388"/>
      <c r="L30" s="1388"/>
      <c r="M30" s="1388"/>
      <c r="N30" s="1389" t="s">
        <v>1230</v>
      </c>
      <c r="O30" s="1389"/>
      <c r="P30" s="1388"/>
      <c r="Q30" s="1390"/>
      <c r="R30" s="1386"/>
      <c r="S30" s="1379"/>
      <c r="T30" s="1349"/>
      <c r="U30" s="1349"/>
      <c r="V30" s="1349"/>
      <c r="W30" s="1349"/>
    </row>
    <row r="31" spans="1:23">
      <c r="A31" s="1354" t="s">
        <v>1208</v>
      </c>
      <c r="B31" s="1366"/>
      <c r="C31" s="1381"/>
      <c r="D31" s="1353"/>
      <c r="E31" s="1353"/>
      <c r="F31" s="1353"/>
      <c r="G31" s="1353"/>
      <c r="H31" s="1353"/>
      <c r="I31" s="1387"/>
      <c r="J31" s="1377"/>
      <c r="K31" s="1388"/>
      <c r="L31" s="1388"/>
      <c r="M31" s="1388"/>
      <c r="N31" s="1377"/>
      <c r="O31" s="1377"/>
      <c r="P31" s="1388"/>
      <c r="Q31" s="1390"/>
      <c r="R31" s="1386"/>
      <c r="S31" s="1379"/>
      <c r="T31" s="1349"/>
      <c r="U31" s="1349"/>
      <c r="V31" s="1349"/>
      <c r="W31" s="1349"/>
    </row>
    <row r="32" spans="1:23" ht="15">
      <c r="A32" s="1345"/>
      <c r="B32" s="1346"/>
      <c r="C32" s="1345"/>
      <c r="D32" s="1363"/>
      <c r="E32" s="1363"/>
      <c r="F32" s="1363"/>
      <c r="G32" s="1363"/>
      <c r="H32" s="1363"/>
      <c r="I32" s="1362"/>
      <c r="J32" s="1362"/>
      <c r="K32" s="1362"/>
      <c r="L32" s="1362"/>
      <c r="M32" s="1362"/>
      <c r="N32" s="1362"/>
      <c r="O32" s="1362"/>
      <c r="P32" s="1512" t="s">
        <v>1166</v>
      </c>
      <c r="Q32" s="1512"/>
      <c r="R32" s="1361"/>
      <c r="S32" s="1379"/>
      <c r="T32" s="1349"/>
      <c r="U32" s="1349"/>
      <c r="V32" s="1349"/>
      <c r="W32" s="1349"/>
    </row>
    <row r="33" spans="1:23" ht="15">
      <c r="A33" s="1345"/>
      <c r="B33" s="1364" t="s">
        <v>1167</v>
      </c>
      <c r="C33" s="1365"/>
      <c r="D33" s="1365"/>
      <c r="E33" s="1365"/>
      <c r="F33" s="1365"/>
      <c r="G33" s="1365"/>
      <c r="H33" s="1365"/>
      <c r="I33" s="1365"/>
      <c r="J33" s="1365"/>
      <c r="K33" s="1365"/>
      <c r="L33" s="1365"/>
      <c r="M33" s="1365"/>
      <c r="N33" s="1365"/>
      <c r="O33" s="1365"/>
      <c r="P33" s="1365"/>
      <c r="Q33" s="1365"/>
      <c r="R33" s="1349"/>
      <c r="S33" s="1379"/>
      <c r="T33" s="1349"/>
      <c r="U33" s="1349"/>
      <c r="V33" s="1349"/>
      <c r="W33" s="1349"/>
    </row>
    <row r="34" spans="1:23">
      <c r="A34" s="1346" t="s">
        <v>1209</v>
      </c>
      <c r="B34" s="1401" t="s">
        <v>1169</v>
      </c>
      <c r="C34" s="1346" t="s">
        <v>1170</v>
      </c>
      <c r="D34" s="1367" t="s">
        <v>1171</v>
      </c>
      <c r="E34" s="1367" t="s">
        <v>1172</v>
      </c>
      <c r="F34" s="1368"/>
      <c r="G34" s="1367"/>
      <c r="H34" s="1367"/>
      <c r="I34" s="1369">
        <v>11168482</v>
      </c>
      <c r="J34" s="1370"/>
      <c r="K34" s="1369"/>
      <c r="L34" s="1369"/>
      <c r="M34" s="1369">
        <v>-528376</v>
      </c>
      <c r="N34" s="1369"/>
      <c r="O34" s="1369"/>
      <c r="P34" s="1410">
        <f>SUM(I34:O34)</f>
        <v>10640106</v>
      </c>
      <c r="Q34" s="1382"/>
      <c r="R34" s="1373" t="s">
        <v>641</v>
      </c>
      <c r="S34" s="1379"/>
      <c r="T34" s="1349"/>
      <c r="U34" s="1349"/>
      <c r="V34" s="1349"/>
      <c r="W34" s="1349"/>
    </row>
    <row r="35" spans="1:23">
      <c r="A35" s="1346" t="s">
        <v>1210</v>
      </c>
      <c r="B35" s="1401" t="s">
        <v>1181</v>
      </c>
      <c r="C35" s="1346" t="s">
        <v>1182</v>
      </c>
      <c r="D35" s="1367" t="s">
        <v>1176</v>
      </c>
      <c r="E35" s="1367" t="s">
        <v>1172</v>
      </c>
      <c r="F35" s="1374">
        <v>-35312263</v>
      </c>
      <c r="G35" s="1375" t="s">
        <v>1183</v>
      </c>
      <c r="H35" s="1375" t="s">
        <v>1184</v>
      </c>
      <c r="I35" s="1382"/>
      <c r="J35" s="1369">
        <v>-27114936</v>
      </c>
      <c r="K35" s="1369"/>
      <c r="L35" s="1369"/>
      <c r="M35" s="1369"/>
      <c r="N35" s="1369">
        <v>763557</v>
      </c>
      <c r="O35" s="1369">
        <v>-34561</v>
      </c>
      <c r="P35" s="1382"/>
      <c r="Q35" s="1410">
        <f>SUM(I35:O35)</f>
        <v>-26385940</v>
      </c>
      <c r="R35" s="1513" t="s">
        <v>1296</v>
      </c>
      <c r="S35" s="1379"/>
      <c r="T35" s="1349"/>
      <c r="U35" s="1349"/>
      <c r="V35" s="1349"/>
      <c r="W35" s="1349"/>
    </row>
    <row r="36" spans="1:23">
      <c r="A36" s="1346" t="s">
        <v>1211</v>
      </c>
      <c r="B36" s="1401" t="s">
        <v>1181</v>
      </c>
      <c r="C36" s="1346" t="s">
        <v>1182</v>
      </c>
      <c r="D36" s="1367" t="s">
        <v>1186</v>
      </c>
      <c r="E36" s="1367" t="s">
        <v>1172</v>
      </c>
      <c r="F36" s="1377">
        <v>-434774</v>
      </c>
      <c r="G36" s="1375" t="s">
        <v>1187</v>
      </c>
      <c r="H36" s="1375" t="s">
        <v>1188</v>
      </c>
      <c r="I36" s="1382"/>
      <c r="J36" s="1369">
        <v>-8412370</v>
      </c>
      <c r="K36" s="1369"/>
      <c r="L36" s="1369"/>
      <c r="M36" s="1369"/>
      <c r="N36" s="1369">
        <v>1088281</v>
      </c>
      <c r="O36" s="1369">
        <v>-2997</v>
      </c>
      <c r="P36" s="1382"/>
      <c r="Q36" s="1410">
        <f>SUM(I36:O36)</f>
        <v>-7327086</v>
      </c>
      <c r="R36" s="1513"/>
      <c r="S36" s="1379"/>
      <c r="T36" s="1349"/>
      <c r="U36" s="1349"/>
      <c r="V36" s="1349"/>
      <c r="W36" s="1349"/>
    </row>
    <row r="37" spans="1:23">
      <c r="A37" s="1346" t="s">
        <v>1212</v>
      </c>
      <c r="B37" s="1401" t="s">
        <v>1190</v>
      </c>
      <c r="C37" s="1346" t="s">
        <v>1191</v>
      </c>
      <c r="D37" s="1367" t="s">
        <v>1176</v>
      </c>
      <c r="E37" s="1367" t="s">
        <v>1172</v>
      </c>
      <c r="F37" s="1377"/>
      <c r="G37" s="1375"/>
      <c r="H37" s="1375"/>
      <c r="I37" s="1369">
        <v>27114936</v>
      </c>
      <c r="J37" s="1382"/>
      <c r="K37" s="1369"/>
      <c r="L37" s="1369"/>
      <c r="M37" s="1369">
        <v>-728996</v>
      </c>
      <c r="N37" s="1369"/>
      <c r="O37" s="1369"/>
      <c r="P37" s="1410">
        <f>SUM(I37:O37)</f>
        <v>26385940</v>
      </c>
      <c r="Q37" s="1382"/>
      <c r="R37" s="1513" t="s">
        <v>641</v>
      </c>
      <c r="S37" s="1379"/>
      <c r="T37" s="1349"/>
      <c r="U37" s="1349"/>
      <c r="V37" s="1349"/>
      <c r="W37" s="1349"/>
    </row>
    <row r="38" spans="1:23">
      <c r="A38" s="1346" t="s">
        <v>1213</v>
      </c>
      <c r="B38" s="1401" t="s">
        <v>1190</v>
      </c>
      <c r="C38" s="1346" t="s">
        <v>1191</v>
      </c>
      <c r="D38" s="1367" t="s">
        <v>1186</v>
      </c>
      <c r="E38" s="1367" t="s">
        <v>1172</v>
      </c>
      <c r="F38" s="1377"/>
      <c r="G38" s="1375"/>
      <c r="H38" s="1375"/>
      <c r="I38" s="1369">
        <v>8412370</v>
      </c>
      <c r="J38" s="1382"/>
      <c r="K38" s="1369"/>
      <c r="L38" s="1369"/>
      <c r="M38" s="1369">
        <v>-1085284</v>
      </c>
      <c r="N38" s="1369"/>
      <c r="O38" s="1369"/>
      <c r="P38" s="1410">
        <f>SUM(I38:O38)</f>
        <v>7327086</v>
      </c>
      <c r="Q38" s="1382"/>
      <c r="R38" s="1513"/>
      <c r="S38" s="1379"/>
      <c r="T38" s="1349"/>
      <c r="U38" s="1349"/>
      <c r="V38" s="1349"/>
      <c r="W38" s="1349"/>
    </row>
    <row r="39" spans="1:23">
      <c r="A39" s="1346" t="s">
        <v>1214</v>
      </c>
      <c r="B39" s="1401" t="s">
        <v>1194</v>
      </c>
      <c r="C39" s="1346" t="s">
        <v>1195</v>
      </c>
      <c r="D39" s="1367" t="s">
        <v>1186</v>
      </c>
      <c r="E39" s="1367" t="s">
        <v>1172</v>
      </c>
      <c r="F39" s="1377">
        <v>1632023</v>
      </c>
      <c r="G39" s="1375" t="s">
        <v>1187</v>
      </c>
      <c r="H39" s="1375" t="s">
        <v>1188</v>
      </c>
      <c r="I39" s="1382" t="s">
        <v>116</v>
      </c>
      <c r="J39" s="1369">
        <v>3440107</v>
      </c>
      <c r="K39" s="1369"/>
      <c r="L39" s="1369"/>
      <c r="M39" s="1369"/>
      <c r="N39" s="1369">
        <v>-445035</v>
      </c>
      <c r="O39" s="1369">
        <v>-170700</v>
      </c>
      <c r="P39" s="1376" t="s">
        <v>116</v>
      </c>
      <c r="Q39" s="1410">
        <f>SUM(I39:O39)</f>
        <v>2824372</v>
      </c>
      <c r="R39" s="1426" t="s">
        <v>1297</v>
      </c>
      <c r="S39" s="1379"/>
      <c r="T39" s="1349"/>
      <c r="U39" s="1349"/>
      <c r="V39" s="1349"/>
      <c r="W39" s="1349"/>
    </row>
    <row r="40" spans="1:23">
      <c r="A40" s="1346" t="s">
        <v>1215</v>
      </c>
      <c r="B40" s="1402" t="s">
        <v>1197</v>
      </c>
      <c r="C40" s="1346" t="s">
        <v>1198</v>
      </c>
      <c r="D40" s="1367" t="s">
        <v>1186</v>
      </c>
      <c r="E40" s="1367" t="s">
        <v>1172</v>
      </c>
      <c r="F40" s="1374"/>
      <c r="G40" s="1375"/>
      <c r="H40" s="1375"/>
      <c r="I40" s="1369">
        <v>-2488154</v>
      </c>
      <c r="J40" s="1370"/>
      <c r="K40" s="1369"/>
      <c r="L40" s="1369">
        <v>-951955</v>
      </c>
      <c r="M40" s="1369">
        <v>615736</v>
      </c>
      <c r="N40" s="1369"/>
      <c r="O40" s="1369"/>
      <c r="P40" s="1410">
        <f>SUM(I40:O40)</f>
        <v>-2824373</v>
      </c>
      <c r="Q40" s="1376"/>
      <c r="R40" s="1403" t="s">
        <v>641</v>
      </c>
      <c r="S40" s="1379"/>
      <c r="T40" s="1349"/>
      <c r="U40" s="1349"/>
      <c r="V40" s="1349"/>
      <c r="W40" s="1349"/>
    </row>
    <row r="41" spans="1:23" ht="15">
      <c r="A41" s="1346" t="s">
        <v>1216</v>
      </c>
      <c r="B41" s="1354" t="s">
        <v>1228</v>
      </c>
      <c r="C41" s="1345"/>
      <c r="D41" s="1367"/>
      <c r="E41" s="1367"/>
      <c r="F41" s="1374"/>
      <c r="G41" s="1375"/>
      <c r="H41" s="1375"/>
      <c r="I41" s="1369"/>
      <c r="J41" s="1369"/>
      <c r="K41" s="1369"/>
      <c r="L41" s="1369"/>
      <c r="M41" s="1369"/>
      <c r="N41" s="1369"/>
      <c r="O41" s="1369"/>
      <c r="P41" s="1372"/>
      <c r="Q41" s="1371"/>
      <c r="R41" s="1403"/>
      <c r="S41" s="1349"/>
      <c r="T41" s="1349"/>
      <c r="U41" s="1349"/>
      <c r="V41" s="1349"/>
      <c r="W41" s="1349"/>
    </row>
    <row r="42" spans="1:23" ht="15">
      <c r="A42" s="1345"/>
      <c r="B42" s="1404"/>
      <c r="C42" s="1404"/>
      <c r="D42" s="1404"/>
      <c r="E42" s="1404"/>
      <c r="F42" s="1404"/>
      <c r="G42" s="1404"/>
      <c r="H42" s="1404"/>
      <c r="I42" s="1404"/>
      <c r="J42" s="1404"/>
      <c r="K42" s="1404"/>
      <c r="L42" s="1404"/>
      <c r="M42" s="1404"/>
      <c r="N42" s="1345"/>
      <c r="O42" s="1345"/>
      <c r="P42" s="1345"/>
      <c r="Q42" s="1345"/>
      <c r="R42" s="1345"/>
      <c r="S42" s="1349"/>
      <c r="T42" s="1349"/>
      <c r="U42" s="1349"/>
      <c r="V42" s="1349"/>
      <c r="W42" s="1349"/>
    </row>
    <row r="43" spans="1:23" ht="15">
      <c r="A43" s="1345"/>
      <c r="B43" s="1364" t="s">
        <v>1200</v>
      </c>
      <c r="C43" s="1349"/>
      <c r="D43" s="1349"/>
      <c r="E43" s="1349"/>
      <c r="F43" s="1349"/>
      <c r="G43" s="1349"/>
      <c r="H43" s="1349"/>
      <c r="I43" s="1349"/>
      <c r="J43" s="1349"/>
      <c r="K43" s="1349"/>
      <c r="L43" s="1349"/>
      <c r="M43" s="1349"/>
      <c r="N43" s="1349"/>
      <c r="O43" s="1349"/>
      <c r="P43" s="1349"/>
      <c r="Q43" s="1379"/>
      <c r="R43" s="1380"/>
      <c r="S43" s="1349"/>
      <c r="T43" s="1349"/>
      <c r="U43" s="1349"/>
      <c r="V43" s="1349"/>
      <c r="W43" s="1349"/>
    </row>
    <row r="44" spans="1:23">
      <c r="A44" s="1346" t="s">
        <v>626</v>
      </c>
      <c r="B44" s="1366">
        <v>182.3</v>
      </c>
      <c r="C44" s="1381" t="s">
        <v>1202</v>
      </c>
      <c r="D44" s="1382" t="s">
        <v>116</v>
      </c>
      <c r="E44" s="1367" t="s">
        <v>1172</v>
      </c>
      <c r="F44" s="1382"/>
      <c r="G44" s="1382" t="s">
        <v>116</v>
      </c>
      <c r="H44" s="1382"/>
      <c r="I44" s="1383">
        <v>-951955</v>
      </c>
      <c r="J44" s="1382"/>
      <c r="K44" s="1369"/>
      <c r="L44" s="1369">
        <v>951955</v>
      </c>
      <c r="M44" s="1369"/>
      <c r="N44" s="1382"/>
      <c r="O44" s="1382"/>
      <c r="P44" s="1410">
        <f>SUM(I44:O44)</f>
        <v>0</v>
      </c>
      <c r="Q44" s="1378"/>
      <c r="R44" s="1373" t="s">
        <v>1203</v>
      </c>
      <c r="S44" s="1349"/>
      <c r="T44" s="1349"/>
      <c r="U44" s="1349"/>
      <c r="V44" s="1349"/>
      <c r="W44" s="1349"/>
    </row>
    <row r="45" spans="1:23">
      <c r="A45" s="1346" t="s">
        <v>627</v>
      </c>
      <c r="B45" s="1366">
        <v>254</v>
      </c>
      <c r="C45" s="1381" t="s">
        <v>1205</v>
      </c>
      <c r="D45" s="1382" t="s">
        <v>116</v>
      </c>
      <c r="E45" s="1367" t="s">
        <v>1172</v>
      </c>
      <c r="F45" s="1382"/>
      <c r="G45" s="1382" t="s">
        <v>116</v>
      </c>
      <c r="H45" s="1382"/>
      <c r="I45" s="1383">
        <v>-43255679</v>
      </c>
      <c r="J45" s="1382"/>
      <c r="K45" s="1369"/>
      <c r="L45" s="1369"/>
      <c r="M45" s="1369">
        <f>528376+728996+1085284-615736</f>
        <v>1726920</v>
      </c>
      <c r="N45" s="1382"/>
      <c r="O45" s="1382" t="s">
        <v>116</v>
      </c>
      <c r="P45" s="1410">
        <f>SUM(I45:O45)</f>
        <v>-41528759</v>
      </c>
      <c r="Q45" s="1378"/>
      <c r="R45" s="1373" t="s">
        <v>1203</v>
      </c>
      <c r="S45" s="1349"/>
      <c r="T45" s="1349"/>
      <c r="U45" s="1349"/>
      <c r="V45" s="1349"/>
      <c r="W45" s="1349"/>
    </row>
    <row r="46" spans="1:23">
      <c r="A46" s="1346" t="s">
        <v>1217</v>
      </c>
      <c r="B46" s="1354" t="s">
        <v>1228</v>
      </c>
      <c r="C46" s="1381"/>
      <c r="D46" s="1382"/>
      <c r="E46" s="1367"/>
      <c r="F46" s="1382"/>
      <c r="G46" s="1382"/>
      <c r="H46" s="1382"/>
      <c r="I46" s="1369"/>
      <c r="J46" s="1382"/>
      <c r="K46" s="1369"/>
      <c r="L46" s="1369"/>
      <c r="M46" s="1369"/>
      <c r="N46" s="1382"/>
      <c r="O46" s="1382"/>
      <c r="P46" s="1378"/>
      <c r="Q46" s="1378"/>
      <c r="R46" s="1373"/>
      <c r="S46" s="1349"/>
      <c r="T46" s="1349"/>
      <c r="U46" s="1349"/>
      <c r="V46" s="1349"/>
      <c r="W46" s="1349"/>
    </row>
    <row r="47" spans="1:23" ht="15">
      <c r="A47" s="1345"/>
      <c r="B47" s="1366"/>
      <c r="C47" s="1381"/>
      <c r="D47" s="1353"/>
      <c r="E47" s="1353"/>
      <c r="F47" s="1353"/>
      <c r="G47" s="1353"/>
      <c r="H47" s="1353"/>
      <c r="I47" s="1353"/>
      <c r="J47" s="1353"/>
      <c r="K47" s="1353"/>
      <c r="L47" s="1353"/>
      <c r="M47" s="1353"/>
      <c r="N47" s="1417"/>
      <c r="O47" s="1353"/>
      <c r="P47" s="1353"/>
      <c r="Q47" s="1353"/>
      <c r="R47" s="1384"/>
      <c r="S47" s="1349"/>
      <c r="T47" s="1349"/>
      <c r="U47" s="1349"/>
      <c r="V47" s="1349"/>
      <c r="W47" s="1349"/>
    </row>
    <row r="48" spans="1:23" ht="12.75" customHeight="1" thickBot="1">
      <c r="A48" s="1397">
        <v>6</v>
      </c>
      <c r="B48" s="1511" t="s">
        <v>1231</v>
      </c>
      <c r="C48" s="1511"/>
      <c r="D48" s="1382"/>
      <c r="E48" s="1382"/>
      <c r="F48" s="1382"/>
      <c r="G48" s="1382"/>
      <c r="H48" s="1382"/>
      <c r="I48" s="1385">
        <f>SUM(I34:I46)</f>
        <v>0</v>
      </c>
      <c r="J48" s="1385">
        <f t="shared" ref="J48:Q48" si="1">SUM(J34:J46)</f>
        <v>-32087199</v>
      </c>
      <c r="K48" s="1385">
        <f t="shared" si="1"/>
        <v>0</v>
      </c>
      <c r="L48" s="1385">
        <f t="shared" si="1"/>
        <v>0</v>
      </c>
      <c r="M48" s="1385">
        <f t="shared" si="1"/>
        <v>0</v>
      </c>
      <c r="N48" s="1385">
        <f>-SUM(N34:N46)</f>
        <v>-1406803</v>
      </c>
      <c r="O48" s="1385">
        <f>-SUM(O34:O46)</f>
        <v>208258</v>
      </c>
      <c r="P48" s="1385">
        <f t="shared" si="1"/>
        <v>0</v>
      </c>
      <c r="Q48" s="1385">
        <f t="shared" si="1"/>
        <v>-30888654</v>
      </c>
      <c r="R48" s="1386"/>
      <c r="S48" s="1349"/>
      <c r="T48" s="1349"/>
      <c r="U48" s="1349"/>
      <c r="V48" s="1349"/>
      <c r="W48" s="1349"/>
    </row>
    <row r="49" spans="1:23" ht="15.75" thickTop="1">
      <c r="A49" s="1345"/>
      <c r="B49" s="1366"/>
      <c r="C49" s="1381"/>
      <c r="D49" s="1353"/>
      <c r="E49" s="1353"/>
      <c r="F49" s="1353"/>
      <c r="G49" s="1353"/>
      <c r="H49" s="1353"/>
      <c r="I49" s="1387"/>
      <c r="J49" s="1377"/>
      <c r="K49" s="1388"/>
      <c r="L49" s="1388"/>
      <c r="M49" s="1388"/>
      <c r="N49" s="1389" t="s">
        <v>1230</v>
      </c>
      <c r="O49" s="1377"/>
      <c r="P49" s="1388"/>
      <c r="Q49" s="1390"/>
      <c r="R49" s="1386"/>
      <c r="S49" s="1349"/>
      <c r="T49" s="1349"/>
      <c r="U49" s="1349"/>
      <c r="V49" s="1349"/>
      <c r="W49" s="1349"/>
    </row>
    <row r="50" spans="1:23" ht="15">
      <c r="A50" s="1345"/>
      <c r="B50" s="1366"/>
      <c r="C50" s="1381"/>
      <c r="D50" s="1353"/>
      <c r="E50" s="1353"/>
      <c r="F50" s="1353"/>
      <c r="G50" s="1353"/>
      <c r="H50" s="1353"/>
      <c r="I50" s="1387"/>
      <c r="J50" s="1377"/>
      <c r="K50" s="1388"/>
      <c r="L50" s="1388"/>
      <c r="M50" s="1388"/>
      <c r="N50" s="1377"/>
      <c r="O50" s="1377"/>
      <c r="P50" s="1388"/>
      <c r="Q50" s="1390"/>
      <c r="R50" s="1386"/>
      <c r="S50" s="1349"/>
      <c r="T50" s="1349"/>
      <c r="U50" s="1349"/>
      <c r="V50" s="1349"/>
      <c r="W50" s="1349"/>
    </row>
    <row r="51" spans="1:23" ht="18.600000000000001" customHeight="1">
      <c r="A51" s="1514" t="s">
        <v>1232</v>
      </c>
      <c r="B51" s="1514"/>
      <c r="C51" s="1514"/>
      <c r="D51" s="1514"/>
      <c r="E51" s="1514"/>
      <c r="F51" s="1514"/>
      <c r="G51" s="1514"/>
      <c r="H51" s="1514"/>
      <c r="I51" s="1514"/>
      <c r="J51" s="1514"/>
      <c r="K51" s="1388"/>
      <c r="L51" s="1388"/>
      <c r="M51" s="1388"/>
      <c r="N51" s="1377"/>
      <c r="O51" s="1377"/>
      <c r="P51" s="1388"/>
      <c r="Q51" s="1390"/>
      <c r="R51" s="1386"/>
      <c r="S51" s="1349"/>
      <c r="T51" s="1349"/>
      <c r="U51" s="1349"/>
      <c r="V51" s="1349"/>
      <c r="W51" s="1349"/>
    </row>
    <row r="52" spans="1:23" ht="23.1" customHeight="1">
      <c r="A52" s="1514"/>
      <c r="B52" s="1514"/>
      <c r="C52" s="1514"/>
      <c r="D52" s="1514"/>
      <c r="E52" s="1514"/>
      <c r="F52" s="1514"/>
      <c r="G52" s="1514"/>
      <c r="H52" s="1514"/>
      <c r="I52" s="1514"/>
      <c r="J52" s="1514"/>
      <c r="K52" s="1388"/>
      <c r="L52" s="1388"/>
      <c r="M52" s="1388"/>
      <c r="N52" s="1377"/>
      <c r="O52" s="1377"/>
      <c r="P52" s="1388"/>
      <c r="Q52" s="1390"/>
      <c r="R52" s="1386"/>
      <c r="S52" s="1349"/>
      <c r="T52" s="1349"/>
      <c r="U52" s="1349"/>
      <c r="V52" s="1349"/>
      <c r="W52" s="1349"/>
    </row>
    <row r="53" spans="1:23" ht="15" customHeight="1">
      <c r="A53" s="1345"/>
      <c r="B53" s="1366"/>
      <c r="C53" s="1381"/>
      <c r="D53" s="1353"/>
      <c r="E53" s="1353"/>
      <c r="F53" s="1353"/>
      <c r="G53" s="1353"/>
      <c r="H53" s="1353"/>
      <c r="I53" s="1387"/>
      <c r="J53" s="1377"/>
      <c r="K53" s="1388"/>
      <c r="L53" s="1388"/>
      <c r="M53" s="1388"/>
      <c r="N53" s="1377"/>
      <c r="O53" s="1377"/>
      <c r="P53" s="1388"/>
      <c r="Q53" s="1390"/>
      <c r="R53" s="1386"/>
      <c r="S53" s="1349"/>
      <c r="T53" s="1349"/>
      <c r="U53" s="1349"/>
      <c r="V53" s="1349"/>
      <c r="W53" s="1349"/>
    </row>
    <row r="54" spans="1:23" ht="15">
      <c r="A54" s="1345"/>
      <c r="B54" s="1346"/>
      <c r="C54" s="1381"/>
      <c r="D54" s="1353"/>
      <c r="E54" s="1353"/>
      <c r="F54" s="1353"/>
      <c r="G54" s="1353"/>
      <c r="H54" s="1353"/>
      <c r="I54" s="1387"/>
      <c r="J54" s="1390"/>
      <c r="K54" s="1388"/>
      <c r="L54" s="1388"/>
      <c r="M54" s="1388"/>
      <c r="N54" s="1390"/>
      <c r="O54" s="1390"/>
      <c r="P54" s="1388"/>
      <c r="Q54" s="1390"/>
      <c r="R54" s="1386"/>
      <c r="S54" s="1349"/>
      <c r="T54" s="1349"/>
      <c r="U54" s="1349"/>
      <c r="V54" s="1349"/>
      <c r="W54" s="1349"/>
    </row>
    <row r="55" spans="1:23" ht="15" customHeight="1">
      <c r="A55" s="1391" t="s">
        <v>1218</v>
      </c>
      <c r="B55" s="1510" t="s">
        <v>1233</v>
      </c>
      <c r="C55" s="1510"/>
      <c r="D55" s="1510"/>
      <c r="E55" s="1510"/>
      <c r="F55" s="1510"/>
      <c r="G55" s="1510"/>
      <c r="H55" s="1510"/>
      <c r="I55" s="1510"/>
      <c r="J55" s="1510"/>
      <c r="K55" s="1392"/>
      <c r="L55" s="1393"/>
      <c r="M55" s="1345"/>
      <c r="N55" s="1345"/>
      <c r="O55" s="1394"/>
      <c r="P55" s="1394"/>
      <c r="Q55" s="1394"/>
      <c r="R55" s="1349"/>
      <c r="S55" s="1345"/>
      <c r="T55" s="1345"/>
      <c r="U55" s="1345"/>
      <c r="V55" s="1345"/>
      <c r="W55" s="1345"/>
    </row>
    <row r="56" spans="1:23" ht="15">
      <c r="A56" s="1345"/>
      <c r="B56" s="1510"/>
      <c r="C56" s="1510"/>
      <c r="D56" s="1510"/>
      <c r="E56" s="1510"/>
      <c r="F56" s="1510"/>
      <c r="G56" s="1510"/>
      <c r="H56" s="1510"/>
      <c r="I56" s="1510"/>
      <c r="J56" s="1510"/>
      <c r="K56" s="1392"/>
      <c r="L56" s="1393"/>
      <c r="M56" s="1345"/>
      <c r="N56" s="1345"/>
      <c r="O56" s="1394"/>
      <c r="P56" s="1345"/>
      <c r="Q56" s="1345"/>
      <c r="R56" s="1349"/>
      <c r="S56" s="1345"/>
      <c r="T56" s="1345"/>
      <c r="U56" s="1345"/>
      <c r="V56" s="1345"/>
      <c r="W56" s="1345"/>
    </row>
    <row r="57" spans="1:23" ht="15">
      <c r="A57" s="1345"/>
      <c r="B57" s="1510"/>
      <c r="C57" s="1510"/>
      <c r="D57" s="1510"/>
      <c r="E57" s="1510"/>
      <c r="F57" s="1510"/>
      <c r="G57" s="1510"/>
      <c r="H57" s="1510"/>
      <c r="I57" s="1510"/>
      <c r="J57" s="1510"/>
      <c r="K57" s="1392"/>
      <c r="L57" s="1393"/>
      <c r="M57" s="1345"/>
      <c r="N57" s="1345"/>
      <c r="O57" s="1345"/>
      <c r="P57" s="1345"/>
      <c r="Q57" s="1345"/>
      <c r="R57" s="1349"/>
      <c r="S57" s="1345"/>
      <c r="T57" s="1345"/>
      <c r="U57" s="1345"/>
      <c r="V57" s="1345"/>
      <c r="W57" s="1345"/>
    </row>
    <row r="58" spans="1:23" ht="15">
      <c r="A58" s="1345"/>
      <c r="B58" s="1510"/>
      <c r="C58" s="1510"/>
      <c r="D58" s="1510"/>
      <c r="E58" s="1510"/>
      <c r="F58" s="1510"/>
      <c r="G58" s="1510"/>
      <c r="H58" s="1510"/>
      <c r="I58" s="1510"/>
      <c r="J58" s="1510"/>
      <c r="K58" s="1392"/>
      <c r="L58" s="1393"/>
      <c r="M58" s="1345"/>
      <c r="N58" s="1345"/>
      <c r="O58" s="1345"/>
      <c r="P58" s="1394"/>
      <c r="Q58" s="1394"/>
      <c r="R58" s="1349"/>
      <c r="S58" s="1345"/>
      <c r="T58" s="1345"/>
      <c r="U58" s="1345"/>
      <c r="V58" s="1345"/>
      <c r="W58" s="1345"/>
    </row>
    <row r="59" spans="1:23" ht="15">
      <c r="A59" s="1345"/>
      <c r="B59" s="1510"/>
      <c r="C59" s="1510"/>
      <c r="D59" s="1510"/>
      <c r="E59" s="1510"/>
      <c r="F59" s="1510"/>
      <c r="G59" s="1510"/>
      <c r="H59" s="1510"/>
      <c r="I59" s="1510"/>
      <c r="J59" s="1510"/>
      <c r="K59" s="1392"/>
      <c r="L59" s="1345"/>
      <c r="M59" s="1345"/>
      <c r="N59" s="1345"/>
      <c r="O59" s="1345"/>
      <c r="P59" s="1345"/>
      <c r="Q59" s="1345"/>
      <c r="R59" s="1349"/>
      <c r="S59" s="1345"/>
      <c r="T59" s="1345"/>
      <c r="U59" s="1345"/>
      <c r="V59" s="1345"/>
      <c r="W59" s="1345"/>
    </row>
    <row r="60" spans="1:23" ht="15">
      <c r="A60" s="1345"/>
      <c r="B60" s="1510"/>
      <c r="C60" s="1510"/>
      <c r="D60" s="1510"/>
      <c r="E60" s="1510"/>
      <c r="F60" s="1510"/>
      <c r="G60" s="1510"/>
      <c r="H60" s="1510"/>
      <c r="I60" s="1510"/>
      <c r="J60" s="1510"/>
      <c r="K60" s="1392"/>
      <c r="L60" s="1345"/>
      <c r="M60" s="1345"/>
      <c r="N60" s="1345"/>
      <c r="O60" s="1345"/>
      <c r="P60" s="1345"/>
      <c r="Q60" s="1345"/>
      <c r="R60" s="1349"/>
      <c r="S60" s="1345"/>
      <c r="T60" s="1345"/>
      <c r="U60" s="1345"/>
      <c r="V60" s="1345"/>
      <c r="W60" s="1345"/>
    </row>
    <row r="61" spans="1:23" ht="5.0999999999999996" customHeight="1">
      <c r="A61" s="1345"/>
      <c r="B61" s="1392"/>
      <c r="C61" s="1392"/>
      <c r="D61" s="1392"/>
      <c r="E61" s="1392"/>
      <c r="F61" s="1392"/>
      <c r="G61" s="1392"/>
      <c r="H61" s="1392"/>
      <c r="I61" s="1392"/>
      <c r="J61" s="1392"/>
      <c r="K61" s="1392"/>
      <c r="L61" s="1345"/>
      <c r="M61" s="1345"/>
      <c r="N61" s="1345"/>
      <c r="O61" s="1345"/>
      <c r="P61" s="1345"/>
      <c r="Q61" s="1345"/>
      <c r="R61" s="1349"/>
      <c r="S61" s="1345"/>
      <c r="T61" s="1345"/>
      <c r="U61" s="1345"/>
      <c r="V61" s="1345"/>
      <c r="W61" s="1345"/>
    </row>
    <row r="62" spans="1:23" ht="12.6" customHeight="1">
      <c r="A62" s="1346" t="s">
        <v>1219</v>
      </c>
      <c r="B62" s="1395" t="s">
        <v>1220</v>
      </c>
      <c r="C62" s="1395"/>
      <c r="D62" s="1395"/>
      <c r="E62" s="1395"/>
      <c r="F62" s="1395"/>
      <c r="G62" s="1395"/>
      <c r="H62" s="1395"/>
      <c r="I62" s="1395"/>
      <c r="J62" s="1395"/>
      <c r="K62" s="1392"/>
      <c r="L62" s="1345"/>
      <c r="M62" s="1345"/>
      <c r="N62" s="1345"/>
      <c r="O62" s="1345"/>
      <c r="P62" s="1345"/>
      <c r="Q62" s="1345"/>
      <c r="R62" s="1349"/>
      <c r="S62" s="1345"/>
      <c r="T62" s="1345"/>
      <c r="U62" s="1345"/>
      <c r="V62" s="1345"/>
      <c r="W62" s="1345"/>
    </row>
    <row r="63" spans="1:23" ht="5.0999999999999996" customHeight="1">
      <c r="A63" s="1345"/>
      <c r="B63" s="1395"/>
      <c r="C63" s="1395"/>
      <c r="D63" s="1395"/>
      <c r="E63" s="1395"/>
      <c r="F63" s="1395"/>
      <c r="G63" s="1395"/>
      <c r="H63" s="1395"/>
      <c r="I63" s="1395"/>
      <c r="J63" s="1395"/>
      <c r="K63" s="1392"/>
      <c r="L63" s="1345"/>
      <c r="M63" s="1345"/>
      <c r="N63" s="1345"/>
      <c r="O63" s="1345"/>
      <c r="P63" s="1345"/>
      <c r="Q63" s="1345"/>
      <c r="R63" s="1349"/>
      <c r="S63" s="1345"/>
      <c r="T63" s="1345"/>
      <c r="U63" s="1345"/>
      <c r="V63" s="1345"/>
      <c r="W63" s="1345"/>
    </row>
    <row r="64" spans="1:23" s="1340" customFormat="1" ht="12.6" customHeight="1">
      <c r="A64" s="1346" t="s">
        <v>1221</v>
      </c>
      <c r="B64" s="1395" t="s">
        <v>1234</v>
      </c>
      <c r="C64" s="1395"/>
      <c r="D64" s="1395"/>
      <c r="E64" s="1395"/>
      <c r="F64" s="1395"/>
      <c r="G64" s="1395"/>
      <c r="H64" s="1395"/>
      <c r="I64" s="1395"/>
      <c r="J64" s="1395"/>
      <c r="K64" s="1392"/>
      <c r="L64" s="1345"/>
      <c r="M64" s="1345"/>
      <c r="N64" s="1345"/>
      <c r="O64" s="1345"/>
      <c r="P64" s="1345"/>
      <c r="Q64" s="1345"/>
      <c r="R64" s="1349"/>
      <c r="S64" s="1345"/>
      <c r="T64" s="1345"/>
      <c r="U64" s="1345"/>
      <c r="V64" s="1345"/>
      <c r="W64" s="1345"/>
    </row>
    <row r="65" spans="1:18" s="1340" customFormat="1" ht="12.6" customHeight="1">
      <c r="A65" s="1345"/>
      <c r="B65" s="1392"/>
      <c r="C65" s="1392"/>
      <c r="D65" s="1392"/>
      <c r="E65" s="1392"/>
      <c r="F65" s="1392"/>
      <c r="G65" s="1392"/>
      <c r="H65" s="1392"/>
      <c r="I65" s="1392"/>
      <c r="J65" s="1392"/>
      <c r="K65" s="1392"/>
      <c r="L65" s="1345"/>
      <c r="M65" s="1345"/>
      <c r="N65" s="1345"/>
      <c r="O65" s="1345"/>
      <c r="P65" s="1345"/>
      <c r="Q65" s="1345"/>
      <c r="R65" s="1349"/>
    </row>
    <row r="66" spans="1:18" ht="5.0999999999999996" customHeight="1">
      <c r="A66" s="1346" t="s">
        <v>1223</v>
      </c>
      <c r="B66" s="1520" t="s">
        <v>1222</v>
      </c>
      <c r="C66" s="1520"/>
      <c r="D66" s="1520"/>
      <c r="E66" s="1520"/>
      <c r="F66" s="1520"/>
      <c r="G66" s="1520"/>
      <c r="H66" s="1520"/>
      <c r="I66" s="1520"/>
      <c r="J66" s="1520"/>
      <c r="K66" s="1405"/>
      <c r="L66" s="1398"/>
      <c r="M66" s="1398"/>
      <c r="N66" s="1398"/>
      <c r="O66" s="1398"/>
      <c r="P66" s="1398"/>
      <c r="Q66" s="1398"/>
      <c r="R66" s="1379"/>
    </row>
    <row r="67" spans="1:18" ht="12" customHeight="1">
      <c r="A67" s="1346"/>
      <c r="B67" s="1520"/>
      <c r="C67" s="1520"/>
      <c r="D67" s="1520"/>
      <c r="E67" s="1520"/>
      <c r="F67" s="1520"/>
      <c r="G67" s="1520"/>
      <c r="H67" s="1520"/>
      <c r="I67" s="1520"/>
      <c r="J67" s="1520"/>
      <c r="K67" s="1405"/>
      <c r="L67" s="1398"/>
      <c r="M67" s="1398"/>
      <c r="N67" s="1398"/>
      <c r="O67" s="1398"/>
      <c r="P67" s="1398"/>
      <c r="Q67" s="1398"/>
      <c r="R67" s="1379"/>
    </row>
    <row r="68" spans="1:18" ht="15">
      <c r="A68" s="1345"/>
      <c r="B68" s="1392"/>
      <c r="C68" s="1392"/>
      <c r="D68" s="1392"/>
      <c r="E68" s="1392"/>
      <c r="F68" s="1392"/>
      <c r="G68" s="1392"/>
      <c r="H68" s="1392"/>
      <c r="I68" s="1392"/>
      <c r="J68" s="1392"/>
      <c r="K68" s="1392"/>
      <c r="L68" s="1345"/>
      <c r="M68" s="1345"/>
      <c r="N68" s="1345"/>
      <c r="O68" s="1345"/>
      <c r="P68" s="1345"/>
      <c r="Q68" s="1345"/>
      <c r="R68" s="1349"/>
    </row>
    <row r="69" spans="1:18" ht="4.5" customHeight="1">
      <c r="A69" s="1346" t="s">
        <v>1224</v>
      </c>
      <c r="B69" s="1515" t="s">
        <v>1235</v>
      </c>
      <c r="C69" s="1515"/>
      <c r="D69" s="1515"/>
      <c r="E69" s="1515"/>
      <c r="F69" s="1515"/>
      <c r="G69" s="1515"/>
      <c r="H69" s="1515"/>
      <c r="I69" s="1515"/>
      <c r="J69" s="1515"/>
      <c r="K69" s="1392"/>
      <c r="L69" s="1345"/>
      <c r="M69" s="1345"/>
      <c r="N69" s="1345"/>
      <c r="O69" s="1345"/>
      <c r="P69" s="1345"/>
      <c r="Q69" s="1345"/>
      <c r="R69" s="1349"/>
    </row>
    <row r="70" spans="1:18" ht="11.45" customHeight="1">
      <c r="A70" s="1345"/>
      <c r="B70" s="1515"/>
      <c r="C70" s="1515"/>
      <c r="D70" s="1515"/>
      <c r="E70" s="1515"/>
      <c r="F70" s="1515"/>
      <c r="G70" s="1515"/>
      <c r="H70" s="1515"/>
      <c r="I70" s="1515"/>
      <c r="J70" s="1515"/>
      <c r="K70" s="1392"/>
      <c r="L70" s="1345"/>
      <c r="M70" s="1345"/>
      <c r="N70" s="1345"/>
      <c r="O70" s="1345"/>
      <c r="P70" s="1345"/>
      <c r="Q70" s="1345"/>
      <c r="R70" s="1349"/>
    </row>
    <row r="71" spans="1:18" ht="11.45" customHeight="1">
      <c r="A71" s="1345"/>
      <c r="B71" s="1396"/>
      <c r="C71" s="1392"/>
      <c r="D71" s="1392"/>
      <c r="E71" s="1392"/>
      <c r="F71" s="1392"/>
      <c r="G71" s="1392"/>
      <c r="H71" s="1392"/>
      <c r="I71" s="1392"/>
      <c r="J71" s="1392"/>
      <c r="K71" s="1392"/>
      <c r="L71" s="1345"/>
      <c r="M71" s="1345"/>
      <c r="N71" s="1345"/>
      <c r="O71" s="1345"/>
      <c r="P71" s="1345"/>
      <c r="Q71" s="1345"/>
      <c r="R71" s="1349"/>
    </row>
    <row r="72" spans="1:18" ht="15" customHeight="1">
      <c r="A72" s="1397" t="s">
        <v>1236</v>
      </c>
      <c r="B72" s="1510" t="s">
        <v>1237</v>
      </c>
      <c r="C72" s="1510"/>
      <c r="D72" s="1510"/>
      <c r="E72" s="1510"/>
      <c r="F72" s="1510"/>
      <c r="G72" s="1510"/>
      <c r="H72" s="1510"/>
      <c r="I72" s="1510"/>
      <c r="J72" s="1392"/>
      <c r="K72" s="1393"/>
      <c r="L72" s="1345"/>
      <c r="M72" s="1345"/>
      <c r="N72" s="1345"/>
      <c r="O72" s="1345"/>
      <c r="P72" s="1345"/>
      <c r="Q72" s="1345"/>
      <c r="R72" s="1349"/>
    </row>
    <row r="73" spans="1:18" ht="15">
      <c r="A73" s="1345"/>
      <c r="B73" s="1510"/>
      <c r="C73" s="1510"/>
      <c r="D73" s="1510"/>
      <c r="E73" s="1510"/>
      <c r="F73" s="1510"/>
      <c r="G73" s="1510"/>
      <c r="H73" s="1510"/>
      <c r="I73" s="1510"/>
      <c r="J73" s="1392"/>
      <c r="K73" s="1345"/>
      <c r="L73" s="1345"/>
      <c r="M73" s="1345"/>
      <c r="N73" s="1345"/>
      <c r="O73" s="1345"/>
      <c r="P73" s="1345"/>
      <c r="Q73" s="1345"/>
      <c r="R73" s="1349"/>
    </row>
    <row r="74" spans="1:18" ht="15">
      <c r="A74" s="1345"/>
      <c r="B74" s="1510"/>
      <c r="C74" s="1510"/>
      <c r="D74" s="1510"/>
      <c r="E74" s="1510"/>
      <c r="F74" s="1510"/>
      <c r="G74" s="1510"/>
      <c r="H74" s="1510"/>
      <c r="I74" s="1510"/>
      <c r="J74" s="1345"/>
      <c r="K74" s="1345"/>
      <c r="L74" s="1345"/>
      <c r="M74" s="1345"/>
      <c r="N74" s="1345"/>
      <c r="O74" s="1345"/>
      <c r="P74" s="1345"/>
      <c r="Q74" s="1345"/>
      <c r="R74" s="1349"/>
    </row>
    <row r="75" spans="1:18" ht="15">
      <c r="A75" s="1345"/>
      <c r="B75" s="1345"/>
      <c r="C75" s="1345"/>
      <c r="D75" s="1345"/>
      <c r="E75" s="1345"/>
      <c r="F75" s="1345"/>
      <c r="G75" s="1345"/>
      <c r="H75" s="1345"/>
      <c r="I75" s="1345"/>
      <c r="J75" s="1345"/>
      <c r="K75" s="1345"/>
      <c r="L75" s="1345"/>
      <c r="M75" s="1345"/>
      <c r="N75" s="1345"/>
      <c r="O75" s="1345"/>
      <c r="P75" s="1345"/>
      <c r="Q75" s="1345"/>
      <c r="R75" s="1349"/>
    </row>
    <row r="76" spans="1:18" ht="15">
      <c r="A76" s="1345"/>
      <c r="B76" s="1345"/>
      <c r="C76" s="1345"/>
      <c r="D76" s="1345"/>
      <c r="E76" s="1345"/>
      <c r="F76" s="1345"/>
      <c r="G76" s="1345"/>
      <c r="H76" s="1345"/>
      <c r="I76" s="1345"/>
      <c r="J76" s="1345"/>
      <c r="K76" s="1345"/>
      <c r="L76" s="1345"/>
      <c r="M76" s="1345"/>
      <c r="N76" s="1345"/>
      <c r="O76" s="1345"/>
      <c r="P76" s="1345"/>
      <c r="Q76" s="1345"/>
      <c r="R76" s="1349"/>
    </row>
    <row r="79" spans="1:18">
      <c r="A79" s="1343"/>
      <c r="B79" s="1343"/>
      <c r="C79" s="1343"/>
      <c r="D79" s="1343"/>
      <c r="E79" s="1343"/>
      <c r="F79" s="1343"/>
      <c r="G79" s="1343"/>
      <c r="H79" s="1343"/>
      <c r="I79" s="1343"/>
      <c r="J79" s="1343"/>
      <c r="K79" s="1343"/>
    </row>
    <row r="80" spans="1:18">
      <c r="A80" s="1343"/>
      <c r="B80" s="1343"/>
      <c r="C80" s="1343"/>
      <c r="D80" s="1343"/>
      <c r="E80" s="1343"/>
      <c r="F80" s="1343"/>
      <c r="G80" s="1343"/>
      <c r="H80" s="1343"/>
      <c r="I80" s="1343"/>
      <c r="J80" s="1343"/>
      <c r="K80" s="1343"/>
    </row>
    <row r="81" spans="1:11">
      <c r="A81" s="1391"/>
      <c r="B81" s="1391"/>
      <c r="C81" s="1391"/>
      <c r="D81" s="1391"/>
      <c r="E81" s="1391"/>
      <c r="F81" s="1391"/>
      <c r="G81" s="1391"/>
      <c r="H81" s="1391"/>
      <c r="I81" s="1391"/>
      <c r="J81" s="1391"/>
      <c r="K81" s="1391"/>
    </row>
    <row r="82" spans="1:11">
      <c r="A82" s="1391"/>
      <c r="B82" s="1391"/>
      <c r="C82" s="1391"/>
      <c r="D82" s="1391"/>
      <c r="E82" s="1391"/>
      <c r="F82" s="1391"/>
      <c r="G82" s="1391"/>
      <c r="H82" s="1391"/>
      <c r="I82" s="1391"/>
      <c r="J82" s="1391"/>
      <c r="K82" s="1391"/>
    </row>
    <row r="83" spans="1:11" ht="15">
      <c r="A83" s="1345"/>
      <c r="B83" s="1345"/>
      <c r="C83" s="1345"/>
      <c r="D83" s="1391"/>
      <c r="E83" s="1391"/>
      <c r="F83" s="1391"/>
      <c r="G83" s="1391"/>
      <c r="H83" s="1391"/>
      <c r="I83" s="1391"/>
      <c r="J83" s="1391"/>
      <c r="K83" s="1391"/>
    </row>
    <row r="84" spans="1:11">
      <c r="A84" s="1391"/>
      <c r="B84" s="1391"/>
      <c r="C84" s="1391"/>
      <c r="D84" s="1391"/>
      <c r="E84" s="1391"/>
      <c r="F84" s="1391"/>
      <c r="G84" s="1391"/>
      <c r="H84" s="1391"/>
      <c r="I84" s="1391"/>
      <c r="J84" s="1391"/>
      <c r="K84" s="1391"/>
    </row>
    <row r="85" spans="1:11">
      <c r="A85" s="1391"/>
      <c r="B85" s="1391"/>
      <c r="C85" s="1391"/>
      <c r="D85" s="1391"/>
      <c r="E85" s="1391"/>
      <c r="F85" s="1391"/>
      <c r="G85" s="1391"/>
      <c r="H85" s="1391"/>
      <c r="I85" s="1391"/>
      <c r="J85" s="1391"/>
      <c r="K85" s="1391"/>
    </row>
    <row r="86" spans="1:11">
      <c r="A86" s="1391"/>
      <c r="B86" s="1391"/>
      <c r="C86" s="1391"/>
      <c r="D86" s="1391"/>
      <c r="E86" s="1391"/>
      <c r="F86" s="1391"/>
      <c r="G86" s="1391"/>
      <c r="H86" s="1391"/>
      <c r="I86" s="1391"/>
      <c r="J86" s="1391"/>
      <c r="K86" s="1391"/>
    </row>
    <row r="87" spans="1:11">
      <c r="A87" s="1391"/>
      <c r="B87" s="1391"/>
      <c r="C87" s="1391"/>
      <c r="D87" s="1391"/>
      <c r="E87" s="1391"/>
      <c r="F87" s="1391"/>
      <c r="G87" s="1391"/>
      <c r="H87" s="1391"/>
      <c r="I87" s="1391"/>
      <c r="J87" s="1391"/>
      <c r="K87" s="1391"/>
    </row>
    <row r="88" spans="1:11">
      <c r="A88" s="1391"/>
      <c r="B88" s="1391"/>
      <c r="C88" s="1391"/>
      <c r="D88" s="1391"/>
      <c r="E88" s="1391"/>
      <c r="F88" s="1391"/>
      <c r="G88" s="1391"/>
      <c r="H88" s="1391"/>
      <c r="I88" s="1391"/>
      <c r="J88" s="1391"/>
      <c r="K88" s="1391"/>
    </row>
    <row r="89" spans="1:11">
      <c r="A89" s="1391"/>
      <c r="B89" s="1391"/>
      <c r="C89" s="1391"/>
      <c r="D89" s="1391"/>
      <c r="E89" s="1391"/>
      <c r="F89" s="1391"/>
      <c r="G89" s="1391"/>
      <c r="H89" s="1391"/>
      <c r="I89" s="1391"/>
      <c r="J89" s="1391"/>
      <c r="K89" s="1391"/>
    </row>
    <row r="90" spans="1:11">
      <c r="A90" s="1391"/>
      <c r="B90" s="1391"/>
      <c r="C90" s="1391"/>
      <c r="D90" s="1391"/>
      <c r="E90" s="1391"/>
      <c r="F90" s="1391"/>
      <c r="G90" s="1391"/>
      <c r="H90" s="1391"/>
      <c r="I90" s="1391"/>
      <c r="J90" s="1391"/>
      <c r="K90" s="1391"/>
    </row>
    <row r="91" spans="1:11">
      <c r="A91" s="1391"/>
      <c r="B91" s="1391"/>
      <c r="C91" s="1391"/>
      <c r="D91" s="1391"/>
      <c r="E91" s="1391"/>
      <c r="F91" s="1391"/>
      <c r="G91" s="1391"/>
      <c r="H91" s="1391"/>
      <c r="I91" s="1391"/>
      <c r="J91" s="1391"/>
      <c r="K91" s="1391"/>
    </row>
    <row r="96" spans="1:11">
      <c r="B96" s="1342"/>
    </row>
    <row r="97" spans="1:11">
      <c r="B97" s="1344"/>
    </row>
    <row r="98" spans="1:11" ht="15">
      <c r="A98" s="1345"/>
      <c r="B98" s="1397"/>
      <c r="C98" s="1345"/>
      <c r="D98" s="1345"/>
      <c r="E98" s="1345"/>
      <c r="F98" s="1345"/>
      <c r="G98" s="1345"/>
      <c r="H98" s="1345"/>
      <c r="I98" s="1345"/>
      <c r="J98" s="1345"/>
      <c r="K98" s="1345"/>
    </row>
    <row r="99" spans="1:11" ht="15">
      <c r="A99" s="1345"/>
      <c r="B99" s="1393"/>
      <c r="C99" s="1345"/>
      <c r="D99" s="1345"/>
      <c r="E99" s="1345"/>
      <c r="F99" s="1345"/>
      <c r="G99" s="1345"/>
      <c r="H99" s="1345"/>
      <c r="I99" s="1345"/>
      <c r="J99" s="1345"/>
      <c r="K99" s="1345"/>
    </row>
    <row r="100" spans="1:11" ht="15">
      <c r="A100" s="1345"/>
      <c r="B100" s="1393"/>
      <c r="C100" s="1345"/>
      <c r="D100" s="1345"/>
      <c r="E100" s="1345"/>
      <c r="F100" s="1345"/>
      <c r="G100" s="1345"/>
      <c r="H100" s="1345"/>
      <c r="I100" s="1345"/>
      <c r="J100" s="1345"/>
      <c r="K100" s="1345"/>
    </row>
    <row r="101" spans="1:11" ht="15">
      <c r="A101" s="1345"/>
      <c r="B101" s="1393"/>
      <c r="C101" s="1345"/>
      <c r="D101" s="1345"/>
      <c r="E101" s="1345"/>
      <c r="F101" s="1345"/>
      <c r="G101" s="1345"/>
      <c r="H101" s="1345"/>
      <c r="I101" s="1345"/>
      <c r="J101" s="1345"/>
      <c r="K101" s="1345"/>
    </row>
    <row r="102" spans="1:11" ht="15">
      <c r="A102" s="1345"/>
      <c r="B102" s="1393"/>
      <c r="C102" s="1345"/>
      <c r="D102" s="1398"/>
      <c r="E102" s="1398"/>
      <c r="F102" s="1398"/>
      <c r="G102" s="1345"/>
      <c r="H102" s="1345"/>
      <c r="I102" s="1345"/>
      <c r="J102" s="1345"/>
      <c r="K102" s="1345"/>
    </row>
    <row r="103" spans="1:11">
      <c r="A103" s="1399"/>
      <c r="B103" s="1391"/>
      <c r="C103" s="1391"/>
      <c r="D103" s="1391"/>
      <c r="E103" s="1391"/>
      <c r="F103" s="1391"/>
      <c r="G103" s="1391"/>
      <c r="H103" s="1391"/>
      <c r="I103" s="1391"/>
      <c r="J103" s="1391"/>
      <c r="K103" s="1391"/>
    </row>
    <row r="104" spans="1:11">
      <c r="A104" s="1391"/>
      <c r="B104" s="1391"/>
      <c r="C104" s="1391"/>
      <c r="D104" s="1391"/>
      <c r="E104" s="1391"/>
      <c r="F104" s="1391"/>
      <c r="G104" s="1391"/>
      <c r="H104" s="1391"/>
      <c r="I104" s="1391"/>
      <c r="J104" s="1391"/>
      <c r="K104" s="1391"/>
    </row>
    <row r="105" spans="1:11">
      <c r="A105" s="1391"/>
      <c r="B105" s="1391"/>
      <c r="C105" s="1391"/>
      <c r="D105" s="1391"/>
      <c r="E105" s="1391"/>
      <c r="F105" s="1391"/>
      <c r="G105" s="1391"/>
      <c r="H105" s="1391"/>
      <c r="I105" s="1391"/>
      <c r="J105" s="1391"/>
      <c r="K105" s="1391"/>
    </row>
    <row r="106" spans="1:11">
      <c r="A106" s="1391"/>
      <c r="B106" s="1391"/>
      <c r="C106" s="1391"/>
      <c r="D106" s="1391"/>
      <c r="E106" s="1391"/>
      <c r="F106" s="1391"/>
      <c r="G106" s="1391"/>
      <c r="H106" s="1391"/>
      <c r="I106" s="1391"/>
      <c r="J106" s="1391"/>
      <c r="K106" s="1391"/>
    </row>
    <row r="107" spans="1:11">
      <c r="A107" s="1391"/>
      <c r="B107" s="1391"/>
      <c r="C107" s="1391"/>
      <c r="D107" s="1400"/>
      <c r="E107" s="1400"/>
      <c r="F107" s="1400"/>
      <c r="G107" s="1391"/>
      <c r="H107" s="1391"/>
      <c r="I107" s="1391"/>
      <c r="J107" s="1391"/>
      <c r="K107" s="1391"/>
    </row>
    <row r="108" spans="1:11">
      <c r="A108" s="1391"/>
      <c r="B108" s="1391"/>
      <c r="C108" s="1391"/>
      <c r="D108" s="1394"/>
      <c r="E108" s="1394"/>
      <c r="F108" s="1394"/>
      <c r="G108" s="1391"/>
      <c r="H108" s="1391"/>
      <c r="I108" s="1391"/>
      <c r="J108" s="1391"/>
      <c r="K108" s="1391"/>
    </row>
    <row r="109" spans="1:11">
      <c r="A109" s="1391"/>
      <c r="B109" s="1391"/>
      <c r="C109" s="1391"/>
      <c r="D109" s="1400"/>
      <c r="E109" s="1400"/>
      <c r="F109" s="1400"/>
      <c r="G109" s="1391"/>
      <c r="H109" s="1391"/>
      <c r="I109" s="1391"/>
      <c r="J109" s="1391"/>
      <c r="K109" s="1391"/>
    </row>
    <row r="110" spans="1:11">
      <c r="A110" s="1391"/>
      <c r="B110" s="1391"/>
      <c r="C110" s="1391"/>
      <c r="D110" s="1391"/>
      <c r="E110" s="1391"/>
      <c r="F110" s="1391"/>
      <c r="G110" s="1391"/>
      <c r="H110" s="1391"/>
      <c r="I110" s="1391"/>
      <c r="J110" s="1391"/>
      <c r="K110" s="1391"/>
    </row>
    <row r="111" spans="1:11">
      <c r="A111" s="1391"/>
      <c r="B111" s="1391"/>
      <c r="C111" s="1391"/>
      <c r="D111" s="1391"/>
      <c r="E111" s="1391"/>
      <c r="F111" s="1391"/>
      <c r="G111" s="1391"/>
      <c r="H111" s="1391"/>
      <c r="I111" s="1391"/>
      <c r="J111" s="1391"/>
      <c r="K111" s="1391"/>
    </row>
    <row r="112" spans="1:11">
      <c r="A112" s="1391"/>
      <c r="B112" s="1391"/>
      <c r="C112" s="1391"/>
      <c r="D112" s="1391"/>
      <c r="E112" s="1391"/>
      <c r="F112" s="1391"/>
      <c r="G112" s="1391"/>
      <c r="H112" s="1391"/>
      <c r="I112" s="1391"/>
      <c r="J112" s="1391"/>
      <c r="K112" s="1391"/>
    </row>
    <row r="113" spans="1:11" ht="15">
      <c r="A113" s="1391"/>
      <c r="B113" s="1345"/>
      <c r="C113" s="1391"/>
      <c r="D113" s="1391"/>
      <c r="E113" s="1391"/>
      <c r="F113" s="1391"/>
      <c r="G113" s="1391"/>
      <c r="H113" s="1391"/>
      <c r="I113" s="1391"/>
      <c r="J113" s="1391"/>
      <c r="K113" s="1391"/>
    </row>
    <row r="114" spans="1:11">
      <c r="A114" s="1391"/>
      <c r="B114" s="1391"/>
      <c r="C114" s="1391"/>
      <c r="D114" s="1391"/>
      <c r="E114" s="1391"/>
      <c r="F114" s="1391"/>
      <c r="G114" s="1391"/>
      <c r="H114" s="1391"/>
      <c r="I114" s="1391"/>
      <c r="J114" s="1391"/>
      <c r="K114" s="1391"/>
    </row>
    <row r="115" spans="1:11">
      <c r="A115" s="1391"/>
      <c r="B115" s="1391"/>
      <c r="C115" s="1391"/>
      <c r="D115" s="1391"/>
      <c r="E115" s="1391"/>
      <c r="F115" s="1391"/>
      <c r="G115" s="1391"/>
      <c r="H115" s="1391"/>
      <c r="I115" s="1391"/>
      <c r="J115" s="1391"/>
      <c r="K115" s="1391"/>
    </row>
  </sheetData>
  <mergeCells count="17">
    <mergeCell ref="R16:R17"/>
    <mergeCell ref="B48:C48"/>
    <mergeCell ref="R18:R19"/>
    <mergeCell ref="B55:J60"/>
    <mergeCell ref="B66:J67"/>
    <mergeCell ref="I9:J9"/>
    <mergeCell ref="K9:M9"/>
    <mergeCell ref="N9:O9"/>
    <mergeCell ref="P9:Q9"/>
    <mergeCell ref="P11:Q11"/>
    <mergeCell ref="B72:I74"/>
    <mergeCell ref="B29:C29"/>
    <mergeCell ref="P32:Q32"/>
    <mergeCell ref="R35:R36"/>
    <mergeCell ref="R37:R38"/>
    <mergeCell ref="A51:J52"/>
    <mergeCell ref="B69:J70"/>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3"/>
  <sheetViews>
    <sheetView view="pageBreakPreview" topLeftCell="A52" zoomScale="85" zoomScaleNormal="85" zoomScaleSheetLayoutView="85" workbookViewId="0">
      <selection activeCell="D263" sqref="D263"/>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43" t="s">
        <v>116</v>
      </c>
    </row>
    <row r="2" spans="1:15" ht="15.75">
      <c r="A2" s="943" t="s">
        <v>116</v>
      </c>
    </row>
    <row r="3" spans="1:15" ht="15">
      <c r="A3" s="1496" t="str">
        <f>+'WS B ADIT &amp; ITC'!A3:I3</f>
        <v>AEP East Companies</v>
      </c>
      <c r="B3" s="1496"/>
      <c r="C3" s="1496"/>
      <c r="D3" s="1496"/>
      <c r="E3" s="1496"/>
      <c r="F3" s="1496"/>
      <c r="G3" s="1496"/>
      <c r="H3" s="1496"/>
      <c r="I3" s="1496"/>
      <c r="J3" s="1496"/>
      <c r="K3" s="1496"/>
      <c r="L3" s="1496"/>
      <c r="M3" s="40"/>
      <c r="N3" s="40"/>
      <c r="O3" s="40"/>
    </row>
    <row r="4" spans="1:15" ht="15">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99"/>
      <c r="N4" s="99"/>
      <c r="O4" s="99"/>
    </row>
    <row r="5" spans="1:15" ht="15">
      <c r="A5" s="1497" t="s">
        <v>497</v>
      </c>
      <c r="B5" s="1497"/>
      <c r="C5" s="1497"/>
      <c r="D5" s="1497"/>
      <c r="E5" s="1497"/>
      <c r="F5" s="1497"/>
      <c r="G5" s="1497"/>
      <c r="H5" s="1497"/>
      <c r="I5" s="1497"/>
      <c r="J5" s="1497"/>
      <c r="K5" s="1497"/>
      <c r="L5" s="1497"/>
      <c r="M5" s="98"/>
      <c r="N5" s="98"/>
      <c r="O5" s="98"/>
    </row>
    <row r="6" spans="1:15" ht="15">
      <c r="A6" s="1508" t="str">
        <f>TCOS!F9</f>
        <v>KENTUCKY POWER COMPANY</v>
      </c>
      <c r="B6" s="1508"/>
      <c r="C6" s="1508"/>
      <c r="D6" s="1508"/>
      <c r="E6" s="1508"/>
      <c r="F6" s="1508"/>
      <c r="G6" s="1508"/>
      <c r="H6" s="1508"/>
      <c r="I6" s="1508"/>
      <c r="J6" s="1508"/>
      <c r="K6" s="1508"/>
      <c r="L6" s="1508"/>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522" t="s">
        <v>209</v>
      </c>
      <c r="C10" s="1522"/>
      <c r="D10" s="1522"/>
      <c r="E10" s="1522"/>
      <c r="F10" s="1522"/>
      <c r="G10" s="1522"/>
      <c r="H10" s="1522"/>
      <c r="I10" s="1522"/>
      <c r="J10" s="1522"/>
      <c r="K10" s="1522"/>
      <c r="O10" s="81"/>
    </row>
    <row r="11" spans="1:15">
      <c r="A11" s="93"/>
      <c r="I11" s="16"/>
      <c r="J11" s="16"/>
      <c r="O11" s="81"/>
    </row>
    <row r="12" spans="1:15" ht="12.75" customHeight="1">
      <c r="A12" s="12" t="s">
        <v>171</v>
      </c>
      <c r="B12" s="74"/>
      <c r="C12" s="82"/>
      <c r="D12" s="201"/>
      <c r="E12" s="1524" t="str">
        <f>"Balance @ December 31, "&amp;TCOS!L4&amp;""</f>
        <v>Balance @ December 31, 2020</v>
      </c>
      <c r="F12" s="201"/>
      <c r="G12" s="1524" t="str">
        <f>"Balance @ December 31, "&amp;TCOS!L4-1&amp;""</f>
        <v>Balance @ December 31, 2019</v>
      </c>
      <c r="H12" s="253"/>
      <c r="I12" s="1509" t="str">
        <f>"Average Balance for "&amp;TCOS!L4&amp;""</f>
        <v>Average Balance for 2020</v>
      </c>
      <c r="J12" s="104"/>
      <c r="K12" s="77"/>
      <c r="L12" s="83"/>
      <c r="M12" s="77"/>
      <c r="N12" s="77"/>
      <c r="O12" s="81"/>
    </row>
    <row r="13" spans="1:15">
      <c r="A13" s="12" t="s">
        <v>107</v>
      </c>
      <c r="B13" s="78"/>
      <c r="C13" s="74"/>
      <c r="D13" s="202" t="s">
        <v>208</v>
      </c>
      <c r="E13" s="1525"/>
      <c r="F13" s="203"/>
      <c r="G13" s="1525"/>
      <c r="H13" s="204"/>
      <c r="I13" s="1507"/>
      <c r="J13" s="104"/>
      <c r="K13" s="84"/>
      <c r="L13" s="85"/>
      <c r="M13" s="75"/>
      <c r="N13" s="75"/>
    </row>
    <row r="14" spans="1:15">
      <c r="A14" s="78"/>
      <c r="B14" s="78"/>
      <c r="C14" s="74"/>
      <c r="D14" s="80"/>
      <c r="E14" s="73"/>
      <c r="F14" s="73"/>
      <c r="G14" s="226"/>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84">
        <v>9758</v>
      </c>
      <c r="F17" s="26"/>
      <c r="G17" s="884">
        <v>11981</v>
      </c>
      <c r="H17" s="32"/>
      <c r="I17" s="140">
        <f>IF(G17="",0,(E17+G17)/2)</f>
        <v>10869.5</v>
      </c>
      <c r="J17"/>
      <c r="K17" s="140"/>
      <c r="L17" s="32"/>
      <c r="M17" s="75"/>
      <c r="N17" s="75"/>
    </row>
    <row r="18" spans="1:14">
      <c r="A18" s="78"/>
      <c r="B18" s="78"/>
      <c r="C18" s="63"/>
      <c r="D18"/>
      <c r="E18" s="21"/>
      <c r="F18" s="21"/>
      <c r="G18" s="21"/>
      <c r="H18"/>
      <c r="I18" s="5"/>
      <c r="J18"/>
      <c r="K18"/>
      <c r="L18" s="32"/>
      <c r="M18" s="75"/>
      <c r="N18" s="75"/>
    </row>
    <row r="19" spans="1:14">
      <c r="A19" s="78">
        <f>+A17+1</f>
        <v>3</v>
      </c>
      <c r="B19" s="78"/>
      <c r="C19" s="63" t="s">
        <v>530</v>
      </c>
      <c r="D19" s="76" t="s">
        <v>438</v>
      </c>
      <c r="E19" s="884">
        <v>45402</v>
      </c>
      <c r="F19" s="26"/>
      <c r="G19" s="884">
        <v>21659</v>
      </c>
      <c r="H19" s="79"/>
      <c r="I19" s="140">
        <f>IF(G19="",0,(E19+G19)/2)</f>
        <v>33530.5</v>
      </c>
      <c r="J19" s="16"/>
      <c r="K19" s="84"/>
      <c r="L19" s="85"/>
      <c r="M19" s="75"/>
      <c r="N19" s="75"/>
    </row>
    <row r="20" spans="1:14">
      <c r="A20" s="78"/>
      <c r="B20" s="78"/>
      <c r="C20" s="63"/>
      <c r="D20" s="76"/>
      <c r="E20" s="21"/>
      <c r="F20" s="21"/>
      <c r="G20" s="21"/>
      <c r="H20"/>
      <c r="I20"/>
      <c r="J20"/>
      <c r="K20" s="84"/>
      <c r="L20" s="85"/>
      <c r="M20" s="75"/>
      <c r="N20" s="75"/>
    </row>
    <row r="21" spans="1:14">
      <c r="A21" s="78">
        <f>+A19+1</f>
        <v>4</v>
      </c>
      <c r="B21" s="78"/>
      <c r="C21" s="63" t="s">
        <v>764</v>
      </c>
      <c r="D21" s="76" t="s">
        <v>439</v>
      </c>
      <c r="E21" s="884">
        <v>0</v>
      </c>
      <c r="F21" s="26"/>
      <c r="G21" s="884">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1"/>
      <c r="B23" s="191"/>
      <c r="C23" s="192"/>
      <c r="D23" s="193"/>
      <c r="E23" s="194"/>
      <c r="F23" s="194"/>
      <c r="G23" s="195"/>
      <c r="H23" s="196"/>
      <c r="I23" s="195"/>
      <c r="J23" s="197"/>
      <c r="K23" s="198"/>
      <c r="L23" s="199"/>
      <c r="M23" s="75"/>
      <c r="N23" s="75"/>
    </row>
    <row r="24" spans="1:14" ht="18">
      <c r="A24" s="78"/>
      <c r="B24" s="1522" t="s">
        <v>763</v>
      </c>
      <c r="C24" s="1522"/>
      <c r="D24" s="1522"/>
      <c r="E24" s="1522"/>
      <c r="F24" s="1522"/>
      <c r="G24" s="1522"/>
      <c r="H24" s="1522"/>
      <c r="I24" s="1522"/>
      <c r="J24" s="1522"/>
      <c r="K24" s="1522"/>
      <c r="L24" s="85"/>
      <c r="M24" s="75"/>
      <c r="N24" s="75"/>
    </row>
    <row r="25" spans="1:14" ht="12.75" customHeight="1">
      <c r="A25" s="78"/>
      <c r="B25" s="151"/>
      <c r="C25" s="74"/>
      <c r="D25" s="26"/>
      <c r="E25" s="10"/>
      <c r="F25" s="72"/>
      <c r="G25" s="10" t="s">
        <v>88</v>
      </c>
      <c r="I25" s="8" t="s">
        <v>117</v>
      </c>
      <c r="J25" s="8" t="s">
        <v>117</v>
      </c>
      <c r="K25" s="8" t="s">
        <v>181</v>
      </c>
      <c r="L25" s="85"/>
      <c r="M25" s="75"/>
      <c r="N25" s="75"/>
    </row>
    <row r="26" spans="1:14" ht="12.75" customHeight="1">
      <c r="A26" s="78"/>
      <c r="B26" s="151"/>
      <c r="C26" s="74"/>
      <c r="D26" s="149" t="s">
        <v>503</v>
      </c>
      <c r="E26" s="8" t="s">
        <v>532</v>
      </c>
      <c r="F26" s="72"/>
      <c r="G26" s="8" t="s">
        <v>117</v>
      </c>
      <c r="I26" s="8" t="s">
        <v>525</v>
      </c>
      <c r="J26" s="8" t="s">
        <v>163</v>
      </c>
      <c r="K26" s="8" t="s">
        <v>182</v>
      </c>
      <c r="L26" s="85"/>
      <c r="M26" s="75"/>
      <c r="N26" s="75"/>
    </row>
    <row r="27" spans="1:14" ht="12.75" customHeight="1">
      <c r="A27" s="78">
        <f>+A21+1</f>
        <v>5</v>
      </c>
      <c r="B27" s="151"/>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7"/>
      <c r="L28" s="85"/>
      <c r="M28" s="75"/>
      <c r="N28" s="75"/>
    </row>
    <row r="29" spans="1:14">
      <c r="A29" s="78">
        <f>+A27+1</f>
        <v>6</v>
      </c>
      <c r="B29" s="78"/>
      <c r="C29" s="72" t="str">
        <f>"Totals as of December 31, "&amp;TCOS!L4&amp;""</f>
        <v>Totals as of December 31, 2020</v>
      </c>
      <c r="D29" s="152">
        <f>ROUND(D60,0)</f>
        <v>2113467</v>
      </c>
      <c r="E29" s="234">
        <f>ROUND(E60,0)</f>
        <v>-67954893</v>
      </c>
      <c r="F29" s="153"/>
      <c r="G29" s="152">
        <f>ROUND(G60,0)</f>
        <v>0</v>
      </c>
      <c r="H29" s="79"/>
      <c r="I29" s="152">
        <f>ROUND(I60,0)</f>
        <v>974276</v>
      </c>
      <c r="J29" s="154">
        <f>+J60</f>
        <v>69094083.510000005</v>
      </c>
      <c r="K29" s="152">
        <f>ROUND(K60,0)</f>
        <v>70068360</v>
      </c>
      <c r="L29" s="85"/>
      <c r="M29" s="75"/>
      <c r="N29" s="75"/>
    </row>
    <row r="30" spans="1:14">
      <c r="A30" s="78">
        <f>+A29+1</f>
        <v>7</v>
      </c>
      <c r="B30" s="78"/>
      <c r="C30" s="72" t="str">
        <f>"Totals as of December 31, "&amp;TCOS!L4-1&amp;""</f>
        <v>Totals as of December 31, 2019</v>
      </c>
      <c r="D30" s="157">
        <f>IF(D89="","",D89)</f>
        <v>2186134.9899999984</v>
      </c>
      <c r="E30" s="235">
        <f>IF(E89="","",E89)</f>
        <v>-63507638.390000001</v>
      </c>
      <c r="F30" s="73"/>
      <c r="G30" s="157" t="str">
        <f>IF(G89="","",G89)</f>
        <v/>
      </c>
      <c r="H30" s="79"/>
      <c r="I30" s="157">
        <f>IF(I89="","",I89)</f>
        <v>1050392.6399999999</v>
      </c>
      <c r="J30" s="157">
        <f>IF(J89="","",J89)</f>
        <v>64643381.739999995</v>
      </c>
      <c r="K30" s="157">
        <f>IF(K89="","",K89)</f>
        <v>65693774.379999995</v>
      </c>
      <c r="L30" s="85"/>
      <c r="M30" s="75"/>
      <c r="N30" s="75"/>
    </row>
    <row r="31" spans="1:14" ht="13.5" thickBot="1">
      <c r="A31" s="78">
        <f>+A30+1</f>
        <v>8</v>
      </c>
      <c r="B31" s="78"/>
      <c r="C31" s="101" t="s">
        <v>215</v>
      </c>
      <c r="D31" s="158">
        <f>IF(D30="",0,(D29+D30)/2)</f>
        <v>2149800.9949999992</v>
      </c>
      <c r="E31" s="158">
        <f>IF(E30="",0,(E29+E30)/2)</f>
        <v>-65731265.695</v>
      </c>
      <c r="F31" s="159"/>
      <c r="G31" s="158">
        <f>IF(G30="",0,(G29+G30)/2)</f>
        <v>0</v>
      </c>
      <c r="H31" s="95"/>
      <c r="I31" s="158">
        <f>IF(I30="",0,(I29+I30)/2)</f>
        <v>1012334.32</v>
      </c>
      <c r="J31" s="158">
        <f>IF(J30="",0,(J29+J30)/2)</f>
        <v>66868732.625</v>
      </c>
      <c r="K31" s="158">
        <f>IF(K30="",0,(K29+K30)/2)</f>
        <v>67881067.189999998</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23" t="str">
        <f>"Prepayments Account 165 - Balance @ 12/31/"&amp;D36&amp;""</f>
        <v>Prepayments Account 165 - Balance @ 12/31/2020</v>
      </c>
      <c r="C34" s="1526"/>
      <c r="D34" s="1526"/>
      <c r="E34" s="1526"/>
      <c r="F34" s="1526"/>
      <c r="G34" s="1526"/>
      <c r="H34" s="1526"/>
      <c r="I34" s="1526"/>
      <c r="J34" s="1526"/>
      <c r="K34" s="84"/>
      <c r="L34" s="85"/>
      <c r="M34" s="75"/>
      <c r="N34" s="75"/>
    </row>
    <row r="35" spans="1:14">
      <c r="A35" s="78"/>
      <c r="B35" s="145"/>
      <c r="C35" s="147"/>
      <c r="D35" s="26"/>
      <c r="E35" s="10"/>
      <c r="F35" s="72"/>
      <c r="G35" s="10" t="s">
        <v>88</v>
      </c>
      <c r="I35" s="8" t="s">
        <v>117</v>
      </c>
      <c r="J35" s="8" t="s">
        <v>117</v>
      </c>
      <c r="K35" s="8" t="s">
        <v>181</v>
      </c>
      <c r="L35"/>
      <c r="M35" s="75"/>
      <c r="N35" s="75"/>
    </row>
    <row r="36" spans="1:14">
      <c r="A36" s="78"/>
      <c r="B36" s="145"/>
      <c r="C36" s="148"/>
      <c r="D36" s="149" t="str">
        <f>""&amp;TCOS!L4</f>
        <v>2020</v>
      </c>
      <c r="E36" s="8" t="s">
        <v>532</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5"/>
      <c r="C38" s="147"/>
      <c r="D38" s="147"/>
      <c r="E38" s="147"/>
      <c r="F38" s="72"/>
      <c r="G38" s="147"/>
      <c r="I38" s="147"/>
      <c r="J38" s="147"/>
      <c r="K38" s="227"/>
      <c r="L38"/>
      <c r="M38" s="75"/>
      <c r="N38" s="75"/>
    </row>
    <row r="39" spans="1:14" ht="14.25">
      <c r="A39" s="78">
        <f>+A37+1</f>
        <v>10</v>
      </c>
      <c r="B39" s="1288" t="s">
        <v>876</v>
      </c>
      <c r="C39" s="1287" t="s">
        <v>877</v>
      </c>
      <c r="D39" s="1303">
        <v>468677.22000000003</v>
      </c>
      <c r="E39" s="1277">
        <f>+D39-K39</f>
        <v>0</v>
      </c>
      <c r="F39" s="1278"/>
      <c r="G39" s="1279"/>
      <c r="H39" s="1278"/>
      <c r="I39" s="1279">
        <f>D39</f>
        <v>468677.22000000003</v>
      </c>
      <c r="J39" s="1279"/>
      <c r="K39" s="1319">
        <f t="shared" ref="K39:K55" si="0">+G39+I39+J39</f>
        <v>468677.22000000003</v>
      </c>
      <c r="L39" t="s">
        <v>533</v>
      </c>
      <c r="M39" s="75"/>
      <c r="N39" s="75"/>
    </row>
    <row r="40" spans="1:14" ht="14.25">
      <c r="A40" s="78">
        <f t="shared" ref="A40:A52" si="1">+A39+1</f>
        <v>11</v>
      </c>
      <c r="B40" s="1289">
        <v>1650005</v>
      </c>
      <c r="C40" s="1287" t="s">
        <v>879</v>
      </c>
      <c r="D40" s="1303">
        <v>0</v>
      </c>
      <c r="E40" s="1277">
        <f t="shared" ref="E40:E56" si="2">+D40-K40</f>
        <v>0</v>
      </c>
      <c r="F40" s="1278"/>
      <c r="G40" s="1279"/>
      <c r="H40" s="1278"/>
      <c r="I40" s="1279"/>
      <c r="J40" s="1279"/>
      <c r="K40" s="1319">
        <f t="shared" si="0"/>
        <v>0</v>
      </c>
      <c r="L40"/>
      <c r="M40" s="75"/>
      <c r="N40" s="75"/>
    </row>
    <row r="41" spans="1:14" ht="14.25">
      <c r="A41" s="78">
        <f t="shared" si="1"/>
        <v>12</v>
      </c>
      <c r="B41" s="1289">
        <v>1650006</v>
      </c>
      <c r="C41" s="1287" t="s">
        <v>904</v>
      </c>
      <c r="D41" s="1303">
        <v>61204.78</v>
      </c>
      <c r="E41" s="1277">
        <f t="shared" si="2"/>
        <v>61204.78</v>
      </c>
      <c r="F41" s="1278"/>
      <c r="G41" s="1279"/>
      <c r="H41" s="1278"/>
      <c r="I41" s="1279"/>
      <c r="J41" s="1279"/>
      <c r="K41" s="1319">
        <f t="shared" si="0"/>
        <v>0</v>
      </c>
      <c r="L41" t="s">
        <v>948</v>
      </c>
      <c r="M41" s="75"/>
      <c r="N41" s="75"/>
    </row>
    <row r="42" spans="1:14" ht="14.25">
      <c r="A42" s="78">
        <f t="shared" si="1"/>
        <v>13</v>
      </c>
      <c r="B42" s="1298" t="s">
        <v>1251</v>
      </c>
      <c r="C42" s="1287" t="s">
        <v>878</v>
      </c>
      <c r="D42" s="1303">
        <v>582268.37</v>
      </c>
      <c r="E42" s="1277">
        <f t="shared" si="2"/>
        <v>582268.37</v>
      </c>
      <c r="F42" s="1278"/>
      <c r="G42" s="1279"/>
      <c r="H42" s="1278"/>
      <c r="I42" s="1279"/>
      <c r="J42" s="1279"/>
      <c r="K42" s="1319">
        <f t="shared" si="0"/>
        <v>0</v>
      </c>
      <c r="L42" t="s">
        <v>597</v>
      </c>
      <c r="M42" s="75"/>
      <c r="N42" s="75"/>
    </row>
    <row r="43" spans="1:14" ht="14.25">
      <c r="A43" s="78">
        <f t="shared" si="1"/>
        <v>14</v>
      </c>
      <c r="B43" s="1288" t="s">
        <v>905</v>
      </c>
      <c r="C43" s="1287" t="s">
        <v>906</v>
      </c>
      <c r="D43" s="1303">
        <v>167611.97</v>
      </c>
      <c r="E43" s="1277">
        <f t="shared" si="2"/>
        <v>167611.97</v>
      </c>
      <c r="F43" s="1278"/>
      <c r="G43" s="1279"/>
      <c r="H43" s="1278"/>
      <c r="I43" s="1279"/>
      <c r="J43" s="1279"/>
      <c r="K43" s="1319">
        <f t="shared" si="0"/>
        <v>0</v>
      </c>
      <c r="L43" s="21" t="s">
        <v>953</v>
      </c>
      <c r="M43" s="75"/>
      <c r="N43" s="75"/>
    </row>
    <row r="44" spans="1:14" ht="14.25">
      <c r="A44" s="78">
        <f t="shared" si="1"/>
        <v>15</v>
      </c>
      <c r="B44" s="1288" t="s">
        <v>880</v>
      </c>
      <c r="C44" s="1287" t="s">
        <v>881</v>
      </c>
      <c r="D44" s="1303">
        <v>45792019.640000001</v>
      </c>
      <c r="E44" s="1277">
        <f t="shared" si="2"/>
        <v>0</v>
      </c>
      <c r="F44" s="1278"/>
      <c r="G44" s="1279"/>
      <c r="H44" s="1278"/>
      <c r="I44" s="1279"/>
      <c r="J44" s="1279">
        <f>D44</f>
        <v>45792019.640000001</v>
      </c>
      <c r="K44" s="1319">
        <f t="shared" si="0"/>
        <v>45792019.640000001</v>
      </c>
      <c r="L44" s="1321" t="s">
        <v>952</v>
      </c>
      <c r="M44" s="75"/>
      <c r="N44" s="75"/>
    </row>
    <row r="45" spans="1:14" ht="14.25">
      <c r="A45" s="78">
        <f t="shared" si="1"/>
        <v>16</v>
      </c>
      <c r="B45" s="1288" t="s">
        <v>882</v>
      </c>
      <c r="C45" s="1287" t="s">
        <v>883</v>
      </c>
      <c r="D45" s="1303">
        <v>-45792019.640000001</v>
      </c>
      <c r="E45" s="1277">
        <f t="shared" si="2"/>
        <v>-45792019.640000001</v>
      </c>
      <c r="F45" s="1278"/>
      <c r="G45" s="1279"/>
      <c r="H45" s="1278"/>
      <c r="I45" s="1279"/>
      <c r="J45" s="1279"/>
      <c r="K45" s="1319">
        <f t="shared" si="0"/>
        <v>0</v>
      </c>
      <c r="L45" s="21" t="s">
        <v>951</v>
      </c>
      <c r="M45" s="75"/>
      <c r="N45" s="75"/>
    </row>
    <row r="46" spans="1:14" ht="14.25">
      <c r="A46" s="78">
        <f t="shared" si="1"/>
        <v>17</v>
      </c>
      <c r="B46" s="1292" t="s">
        <v>884</v>
      </c>
      <c r="C46" s="1290" t="s">
        <v>885</v>
      </c>
      <c r="D46" s="1303">
        <v>0</v>
      </c>
      <c r="E46" s="1277">
        <f t="shared" si="2"/>
        <v>0</v>
      </c>
      <c r="F46" s="1278"/>
      <c r="G46" s="1279"/>
      <c r="H46" s="1278"/>
      <c r="I46" s="1279"/>
      <c r="J46" s="1279"/>
      <c r="K46" s="1319">
        <f t="shared" si="0"/>
        <v>0</v>
      </c>
      <c r="L46" s="1321" t="s">
        <v>116</v>
      </c>
      <c r="M46" s="75"/>
      <c r="N46" s="75"/>
    </row>
    <row r="47" spans="1:14" ht="14.25">
      <c r="A47" s="78">
        <f t="shared" si="1"/>
        <v>18</v>
      </c>
      <c r="B47" s="1298" t="s">
        <v>1252</v>
      </c>
      <c r="C47" s="1290" t="s">
        <v>907</v>
      </c>
      <c r="D47" s="1303">
        <v>22184</v>
      </c>
      <c r="E47" s="1277">
        <f t="shared" si="2"/>
        <v>22184</v>
      </c>
      <c r="F47" s="1278"/>
      <c r="G47" s="1279"/>
      <c r="H47" s="1278"/>
      <c r="I47" s="1279"/>
      <c r="J47" s="1279"/>
      <c r="K47" s="1319">
        <f t="shared" si="0"/>
        <v>0</v>
      </c>
      <c r="L47" s="21" t="s">
        <v>950</v>
      </c>
      <c r="M47" s="75"/>
      <c r="N47" s="75"/>
    </row>
    <row r="48" spans="1:14" ht="14.25">
      <c r="A48" s="78">
        <f t="shared" si="1"/>
        <v>19</v>
      </c>
      <c r="B48" s="1299" t="s">
        <v>1253</v>
      </c>
      <c r="C48" s="1290" t="s">
        <v>908</v>
      </c>
      <c r="D48" s="1303">
        <v>274779</v>
      </c>
      <c r="E48" s="1277">
        <f t="shared" si="2"/>
        <v>274779</v>
      </c>
      <c r="F48" s="1278"/>
      <c r="G48" s="1279"/>
      <c r="H48" s="1278"/>
      <c r="I48" s="1279"/>
      <c r="J48" s="1279"/>
      <c r="K48" s="1319">
        <f t="shared" si="0"/>
        <v>0</v>
      </c>
      <c r="L48" s="21" t="s">
        <v>598</v>
      </c>
      <c r="M48" s="75"/>
      <c r="N48" s="75"/>
    </row>
    <row r="49" spans="1:15" ht="14.25">
      <c r="A49" s="78">
        <f t="shared" si="1"/>
        <v>20</v>
      </c>
      <c r="B49" s="1293" t="s">
        <v>886</v>
      </c>
      <c r="C49" s="1290" t="s">
        <v>887</v>
      </c>
      <c r="D49" s="1303">
        <v>505599.163</v>
      </c>
      <c r="E49" s="1277">
        <f t="shared" si="2"/>
        <v>0</v>
      </c>
      <c r="F49" s="1278"/>
      <c r="G49" s="1279"/>
      <c r="H49" s="1278"/>
      <c r="I49" s="1279">
        <f>D49</f>
        <v>505599.163</v>
      </c>
      <c r="J49" s="1279"/>
      <c r="K49" s="1319">
        <f t="shared" si="0"/>
        <v>505599.163</v>
      </c>
      <c r="L49" s="21" t="s">
        <v>533</v>
      </c>
      <c r="M49" s="75"/>
      <c r="N49" s="75"/>
    </row>
    <row r="50" spans="1:15" ht="14.25">
      <c r="A50" s="78">
        <f t="shared" si="1"/>
        <v>21</v>
      </c>
      <c r="B50" s="1294" t="s">
        <v>909</v>
      </c>
      <c r="C50" s="1290" t="s">
        <v>910</v>
      </c>
      <c r="D50" s="1303">
        <v>31142.45</v>
      </c>
      <c r="E50" s="1277">
        <f t="shared" si="2"/>
        <v>31142.45</v>
      </c>
      <c r="F50" s="1278"/>
      <c r="G50" s="1279"/>
      <c r="H50" s="1278"/>
      <c r="I50" s="1279"/>
      <c r="J50" s="1279"/>
      <c r="K50" s="1319">
        <f t="shared" si="0"/>
        <v>0</v>
      </c>
      <c r="L50" s="21" t="s">
        <v>949</v>
      </c>
      <c r="M50" s="75"/>
      <c r="N50" s="75"/>
    </row>
    <row r="51" spans="1:15" ht="14.25">
      <c r="A51" s="78">
        <f t="shared" si="1"/>
        <v>22</v>
      </c>
      <c r="B51" s="1295">
        <v>1650031</v>
      </c>
      <c r="C51" s="1290" t="s">
        <v>911</v>
      </c>
      <c r="D51" s="1303">
        <v>0</v>
      </c>
      <c r="E51" s="1277">
        <f t="shared" si="2"/>
        <v>0</v>
      </c>
      <c r="F51" s="1278"/>
      <c r="G51" s="1279"/>
      <c r="H51" s="1278"/>
      <c r="I51" s="1279"/>
      <c r="J51" s="1279"/>
      <c r="K51" s="1319">
        <f t="shared" si="0"/>
        <v>0</v>
      </c>
      <c r="L51" s="21" t="s">
        <v>116</v>
      </c>
      <c r="M51" s="75"/>
      <c r="N51" s="75"/>
    </row>
    <row r="52" spans="1:15" ht="14.25">
      <c r="A52" s="78">
        <f t="shared" si="1"/>
        <v>23</v>
      </c>
      <c r="B52" s="1295">
        <v>1650033</v>
      </c>
      <c r="C52" s="1290" t="s">
        <v>912</v>
      </c>
      <c r="D52" s="1303">
        <v>0</v>
      </c>
      <c r="E52" s="1277">
        <f t="shared" si="2"/>
        <v>0</v>
      </c>
      <c r="F52" s="1278"/>
      <c r="G52" s="1279"/>
      <c r="H52" s="1278"/>
      <c r="I52" s="1279"/>
      <c r="J52" s="1279"/>
      <c r="K52" s="1319">
        <f t="shared" si="0"/>
        <v>0</v>
      </c>
      <c r="L52" s="21" t="s">
        <v>116</v>
      </c>
      <c r="M52" s="75"/>
      <c r="N52" s="75"/>
    </row>
    <row r="53" spans="1:15" ht="14.25">
      <c r="A53" s="78">
        <f t="shared" ref="A53:A59" si="3">A52+1</f>
        <v>24</v>
      </c>
      <c r="B53" s="1295">
        <v>1650035</v>
      </c>
      <c r="C53" s="1290" t="s">
        <v>888</v>
      </c>
      <c r="D53" s="1303">
        <v>23302063.870000001</v>
      </c>
      <c r="E53" s="1277">
        <f t="shared" si="2"/>
        <v>0</v>
      </c>
      <c r="F53" s="1278"/>
      <c r="G53" s="1279"/>
      <c r="H53" s="1278"/>
      <c r="I53" s="1279"/>
      <c r="J53" s="1279">
        <f>D53</f>
        <v>23302063.870000001</v>
      </c>
      <c r="K53" s="1319">
        <f t="shared" si="0"/>
        <v>23302063.870000001</v>
      </c>
      <c r="L53" s="21" t="s">
        <v>599</v>
      </c>
      <c r="M53" s="75"/>
      <c r="N53" s="75"/>
    </row>
    <row r="54" spans="1:15" ht="14.25">
      <c r="A54" s="78">
        <f t="shared" si="3"/>
        <v>25</v>
      </c>
      <c r="B54" s="1295">
        <v>1650036</v>
      </c>
      <c r="C54" s="1290" t="s">
        <v>889</v>
      </c>
      <c r="D54" s="1303">
        <v>0</v>
      </c>
      <c r="E54" s="1277">
        <f t="shared" si="2"/>
        <v>0</v>
      </c>
      <c r="F54" s="1278"/>
      <c r="G54" s="1279"/>
      <c r="H54" s="1278"/>
      <c r="I54" s="1279"/>
      <c r="J54" s="1279"/>
      <c r="K54" s="1319">
        <f t="shared" si="0"/>
        <v>0</v>
      </c>
      <c r="L54" s="21" t="s">
        <v>116</v>
      </c>
      <c r="M54" s="75"/>
      <c r="N54" s="75"/>
    </row>
    <row r="55" spans="1:15" ht="14.25">
      <c r="A55" s="78">
        <f t="shared" si="3"/>
        <v>26</v>
      </c>
      <c r="B55" s="1304">
        <v>1650037</v>
      </c>
      <c r="C55" s="1302" t="s">
        <v>913</v>
      </c>
      <c r="D55" s="1303">
        <v>-23302063.870000001</v>
      </c>
      <c r="E55" s="1277">
        <f t="shared" si="2"/>
        <v>-23302063.870000001</v>
      </c>
      <c r="F55" s="1278"/>
      <c r="G55" s="1279"/>
      <c r="H55" s="1278"/>
      <c r="I55" s="1279"/>
      <c r="J55" s="1279"/>
      <c r="K55" s="1319">
        <f t="shared" si="0"/>
        <v>0</v>
      </c>
      <c r="L55" s="21" t="s">
        <v>31</v>
      </c>
      <c r="M55" s="75"/>
      <c r="N55" s="75"/>
    </row>
    <row r="56" spans="1:15" ht="14.25">
      <c r="A56" s="78">
        <f t="shared" si="3"/>
        <v>27</v>
      </c>
      <c r="B56" s="889"/>
      <c r="C56" s="887"/>
      <c r="D56" s="888"/>
      <c r="E56" s="1277">
        <f t="shared" si="2"/>
        <v>0</v>
      </c>
      <c r="F56" s="1278"/>
      <c r="G56" s="1279"/>
      <c r="H56" s="1278"/>
      <c r="I56" s="1279"/>
      <c r="J56" s="1279"/>
      <c r="K56" s="1320"/>
      <c r="L56" s="21"/>
      <c r="M56" s="75"/>
      <c r="N56" s="75"/>
    </row>
    <row r="57" spans="1:15" ht="14.25">
      <c r="A57" s="78">
        <f t="shared" si="3"/>
        <v>28</v>
      </c>
      <c r="B57" s="1295"/>
      <c r="C57" s="1290"/>
      <c r="D57" s="1291"/>
      <c r="E57" s="1277"/>
      <c r="F57" s="1278"/>
      <c r="G57" s="1279"/>
      <c r="H57" s="1278"/>
      <c r="I57" s="1279"/>
      <c r="J57" s="1279"/>
      <c r="K57" s="1279"/>
      <c r="L57" s="21"/>
      <c r="M57" s="75"/>
      <c r="N57" s="75"/>
    </row>
    <row r="58" spans="1:15" ht="14.25">
      <c r="A58" s="78">
        <f t="shared" si="3"/>
        <v>29</v>
      </c>
      <c r="B58" s="889"/>
      <c r="C58" s="887"/>
      <c r="D58" s="888"/>
      <c r="E58" s="1279"/>
      <c r="F58" s="1278"/>
      <c r="G58" s="1279"/>
      <c r="H58" s="1278"/>
      <c r="I58" s="1279"/>
      <c r="J58" s="1279"/>
      <c r="K58" s="1279"/>
      <c r="L58" s="21"/>
      <c r="M58" s="75"/>
      <c r="N58" s="75"/>
    </row>
    <row r="59" spans="1:15" ht="15" thickBot="1">
      <c r="A59" s="78">
        <f t="shared" si="3"/>
        <v>30</v>
      </c>
      <c r="B59" s="889"/>
      <c r="C59" s="887"/>
      <c r="D59" s="888"/>
      <c r="E59" s="1279">
        <f>D59</f>
        <v>0</v>
      </c>
      <c r="F59" s="1278"/>
      <c r="G59" s="1279"/>
      <c r="H59" s="1278"/>
      <c r="I59" s="1279"/>
      <c r="J59" s="1279"/>
      <c r="K59" s="1279"/>
      <c r="L59" s="21"/>
      <c r="M59" s="75"/>
      <c r="N59" s="75"/>
    </row>
    <row r="60" spans="1:15" ht="14.25">
      <c r="A60" s="78"/>
      <c r="B60" s="145"/>
      <c r="C60" s="35" t="s">
        <v>505</v>
      </c>
      <c r="D60" s="890">
        <f>SUM(D39:D59)</f>
        <v>2113466.9530000053</v>
      </c>
      <c r="E60" s="1280">
        <f>SUM(E39:E59)</f>
        <v>-67954892.939999998</v>
      </c>
      <c r="F60" s="1278"/>
      <c r="G60" s="890">
        <f>SUM(G39:G59)</f>
        <v>0</v>
      </c>
      <c r="H60" s="1278"/>
      <c r="I60" s="890">
        <f>SUM(I39:I59)</f>
        <v>974276.38300000003</v>
      </c>
      <c r="J60" s="890">
        <f>SUM(J39:J59)</f>
        <v>69094083.510000005</v>
      </c>
      <c r="K60" s="890">
        <f>SUM(K39:K59)</f>
        <v>70068359.893000007</v>
      </c>
      <c r="L60"/>
      <c r="M60" s="75"/>
      <c r="N60" s="75"/>
    </row>
    <row r="61" spans="1:15">
      <c r="A61" s="78"/>
      <c r="K61" s="150"/>
      <c r="L61"/>
      <c r="M61" s="75"/>
      <c r="N61" s="75"/>
    </row>
    <row r="62" spans="1:15">
      <c r="A62" s="78"/>
      <c r="B62"/>
      <c r="C62"/>
      <c r="D62"/>
      <c r="E62"/>
      <c r="F62"/>
      <c r="G62"/>
      <c r="H62"/>
      <c r="I62"/>
      <c r="J62"/>
      <c r="K62"/>
      <c r="L62"/>
      <c r="M62" s="21"/>
      <c r="N62" s="21"/>
      <c r="O62"/>
    </row>
    <row r="63" spans="1:15" ht="18">
      <c r="A63" s="78"/>
      <c r="B63" s="1523" t="str">
        <f>"Prepayments Account 165 - Balance @ 12/31/ "&amp;D65&amp;""</f>
        <v>Prepayments Account 165 - Balance @ 12/31/ 2019</v>
      </c>
      <c r="C63" s="1523"/>
      <c r="D63" s="1523"/>
      <c r="E63" s="1523"/>
      <c r="F63" s="1523"/>
      <c r="G63" s="1523"/>
      <c r="H63" s="1523"/>
      <c r="I63" s="1523"/>
      <c r="J63" s="1523"/>
      <c r="K63" s="84"/>
      <c r="L63" s="85"/>
      <c r="M63" s="75"/>
      <c r="N63" s="21"/>
      <c r="O63"/>
    </row>
    <row r="64" spans="1:15">
      <c r="A64" s="78"/>
      <c r="B64" s="246"/>
      <c r="C64" s="247"/>
      <c r="D64" s="248"/>
      <c r="E64" s="10"/>
      <c r="F64" s="72"/>
      <c r="G64" s="10" t="s">
        <v>88</v>
      </c>
      <c r="I64" s="8" t="s">
        <v>117</v>
      </c>
      <c r="J64" s="8" t="s">
        <v>117</v>
      </c>
      <c r="K64" s="8" t="s">
        <v>181</v>
      </c>
      <c r="L64"/>
      <c r="M64" s="75"/>
      <c r="N64" s="21"/>
      <c r="O64"/>
    </row>
    <row r="65" spans="1:15">
      <c r="A65" s="78"/>
      <c r="B65" s="246"/>
      <c r="C65" s="249"/>
      <c r="D65" s="8" t="str">
        <f>""&amp;TCOS!L4-1</f>
        <v>2019</v>
      </c>
      <c r="E65" s="8" t="s">
        <v>532</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5"/>
      <c r="C67" s="147"/>
      <c r="D67" s="147"/>
      <c r="E67" s="147"/>
      <c r="F67" s="72"/>
      <c r="G67" s="147"/>
      <c r="I67" s="147"/>
      <c r="J67" s="147"/>
      <c r="K67" s="147"/>
      <c r="L67"/>
      <c r="M67" s="75"/>
      <c r="N67" s="21"/>
      <c r="O67"/>
    </row>
    <row r="68" spans="1:15" ht="14.25">
      <c r="A68" s="78">
        <f>+A66+1</f>
        <v>32</v>
      </c>
      <c r="B68" s="1296" t="s">
        <v>876</v>
      </c>
      <c r="C68" s="1302" t="s">
        <v>877</v>
      </c>
      <c r="D68" s="1303">
        <v>538065.09</v>
      </c>
      <c r="E68" s="1277">
        <f>+D68-K68</f>
        <v>0</v>
      </c>
      <c r="F68" s="1278"/>
      <c r="G68" s="1279"/>
      <c r="H68" s="1278"/>
      <c r="I68" s="1279">
        <f>D68</f>
        <v>538065.09</v>
      </c>
      <c r="J68" s="1279"/>
      <c r="K68" s="1319">
        <f t="shared" ref="K68:K84" si="4">+G68+I68+J68</f>
        <v>538065.09</v>
      </c>
      <c r="L68" t="s">
        <v>533</v>
      </c>
      <c r="M68" s="75"/>
      <c r="N68" s="21"/>
      <c r="O68"/>
    </row>
    <row r="69" spans="1:15" ht="14.25">
      <c r="A69" s="78">
        <f t="shared" ref="A69:A88" si="5">+A68+1</f>
        <v>33</v>
      </c>
      <c r="B69" s="1297">
        <v>1650005</v>
      </c>
      <c r="C69" s="1302" t="s">
        <v>879</v>
      </c>
      <c r="D69" s="1303">
        <v>0</v>
      </c>
      <c r="E69" s="1277">
        <f t="shared" ref="E69:E85" si="6">+D69-K69</f>
        <v>0</v>
      </c>
      <c r="F69" s="1278"/>
      <c r="G69" s="1279"/>
      <c r="H69" s="1278"/>
      <c r="I69" s="1279"/>
      <c r="J69" s="1279"/>
      <c r="K69" s="1319">
        <f t="shared" si="4"/>
        <v>0</v>
      </c>
      <c r="L69"/>
      <c r="M69" s="75"/>
      <c r="N69" s="21"/>
      <c r="O69"/>
    </row>
    <row r="70" spans="1:15" ht="14.25">
      <c r="A70" s="78">
        <f t="shared" si="5"/>
        <v>34</v>
      </c>
      <c r="B70" s="1297">
        <v>1650006</v>
      </c>
      <c r="C70" s="1302" t="s">
        <v>904</v>
      </c>
      <c r="D70" s="1303">
        <v>150000</v>
      </c>
      <c r="E70" s="1277">
        <f t="shared" si="6"/>
        <v>150000</v>
      </c>
      <c r="F70" s="1278"/>
      <c r="G70" s="1279"/>
      <c r="H70" s="1278"/>
      <c r="I70" s="1279"/>
      <c r="J70" s="1279"/>
      <c r="K70" s="1319">
        <f t="shared" si="4"/>
        <v>0</v>
      </c>
      <c r="L70" t="s">
        <v>948</v>
      </c>
      <c r="M70" s="75"/>
      <c r="N70" s="21"/>
      <c r="O70"/>
    </row>
    <row r="71" spans="1:15" ht="14.25">
      <c r="A71" s="78">
        <f t="shared" si="5"/>
        <v>35</v>
      </c>
      <c r="B71" s="1298" t="s">
        <v>1134</v>
      </c>
      <c r="C71" s="1302" t="s">
        <v>878</v>
      </c>
      <c r="D71" s="1303">
        <v>598458.43000000005</v>
      </c>
      <c r="E71" s="1277">
        <f t="shared" si="6"/>
        <v>598458.43000000005</v>
      </c>
      <c r="F71" s="1278"/>
      <c r="G71" s="1279"/>
      <c r="H71" s="1278"/>
      <c r="I71" s="1279"/>
      <c r="J71" s="1279"/>
      <c r="K71" s="1319">
        <f t="shared" si="4"/>
        <v>0</v>
      </c>
      <c r="L71" t="s">
        <v>597</v>
      </c>
      <c r="M71" s="75"/>
      <c r="N71" s="21"/>
      <c r="O71"/>
    </row>
    <row r="72" spans="1:15" ht="14.25">
      <c r="A72" s="78">
        <f t="shared" si="5"/>
        <v>36</v>
      </c>
      <c r="B72" s="1296" t="s">
        <v>905</v>
      </c>
      <c r="C72" s="1302" t="s">
        <v>906</v>
      </c>
      <c r="D72" s="1303">
        <v>38597.919999999998</v>
      </c>
      <c r="E72" s="1277">
        <f t="shared" si="6"/>
        <v>38597.919999999998</v>
      </c>
      <c r="F72" s="1278"/>
      <c r="G72" s="1279"/>
      <c r="H72" s="1278"/>
      <c r="I72" s="1279"/>
      <c r="J72" s="1279"/>
      <c r="K72" s="1319">
        <f t="shared" si="4"/>
        <v>0</v>
      </c>
      <c r="L72" s="21" t="s">
        <v>953</v>
      </c>
      <c r="M72" s="75"/>
      <c r="N72" s="21"/>
      <c r="O72"/>
    </row>
    <row r="73" spans="1:15" ht="14.25">
      <c r="A73" s="78">
        <f t="shared" si="5"/>
        <v>37</v>
      </c>
      <c r="B73" s="1296" t="s">
        <v>880</v>
      </c>
      <c r="C73" s="1302" t="s">
        <v>881</v>
      </c>
      <c r="D73" s="1303">
        <v>45500105.609999999</v>
      </c>
      <c r="E73" s="1277">
        <f t="shared" si="6"/>
        <v>0</v>
      </c>
      <c r="F73" s="1278"/>
      <c r="G73" s="1279"/>
      <c r="H73" s="1278"/>
      <c r="I73" s="1279"/>
      <c r="J73" s="1279">
        <f>D73</f>
        <v>45500105.609999999</v>
      </c>
      <c r="K73" s="1319">
        <f t="shared" si="4"/>
        <v>45500105.609999999</v>
      </c>
      <c r="L73" s="1321" t="s">
        <v>952</v>
      </c>
      <c r="M73" s="75"/>
      <c r="N73" s="21"/>
      <c r="O73"/>
    </row>
    <row r="74" spans="1:15" ht="14.25">
      <c r="A74" s="78">
        <f t="shared" si="5"/>
        <v>38</v>
      </c>
      <c r="B74" s="1296" t="s">
        <v>882</v>
      </c>
      <c r="C74" s="1302" t="s">
        <v>883</v>
      </c>
      <c r="D74" s="1303">
        <v>-45500105.609999999</v>
      </c>
      <c r="E74" s="1277">
        <f t="shared" si="6"/>
        <v>-45500105.609999999</v>
      </c>
      <c r="F74" s="1278"/>
      <c r="G74" s="1279"/>
      <c r="H74" s="1278"/>
      <c r="I74" s="1279"/>
      <c r="J74" s="1279"/>
      <c r="K74" s="1319">
        <f t="shared" si="4"/>
        <v>0</v>
      </c>
      <c r="L74" s="21" t="s">
        <v>951</v>
      </c>
      <c r="M74" s="75"/>
      <c r="N74" s="21"/>
      <c r="O74"/>
    </row>
    <row r="75" spans="1:15" ht="14.25">
      <c r="A75" s="78">
        <f t="shared" si="5"/>
        <v>39</v>
      </c>
      <c r="B75" s="1296" t="s">
        <v>884</v>
      </c>
      <c r="C75" s="1302" t="s">
        <v>885</v>
      </c>
      <c r="D75" s="1303">
        <v>0</v>
      </c>
      <c r="E75" s="1277">
        <f t="shared" si="6"/>
        <v>0</v>
      </c>
      <c r="F75" s="1278"/>
      <c r="G75" s="1279"/>
      <c r="H75" s="1278"/>
      <c r="I75" s="1279"/>
      <c r="J75" s="1279"/>
      <c r="K75" s="1319">
        <f t="shared" si="4"/>
        <v>0</v>
      </c>
      <c r="L75" s="1321" t="s">
        <v>116</v>
      </c>
      <c r="M75" s="75"/>
      <c r="N75" s="21"/>
      <c r="O75"/>
    </row>
    <row r="76" spans="1:15" ht="14.25">
      <c r="A76" s="78">
        <f t="shared" si="5"/>
        <v>40</v>
      </c>
      <c r="B76" s="1298" t="s">
        <v>1135</v>
      </c>
      <c r="C76" s="1302" t="s">
        <v>907</v>
      </c>
      <c r="D76" s="1303">
        <v>42886</v>
      </c>
      <c r="E76" s="1277">
        <f t="shared" si="6"/>
        <v>42886</v>
      </c>
      <c r="F76" s="1278"/>
      <c r="G76" s="1279"/>
      <c r="H76" s="1278"/>
      <c r="I76" s="1279"/>
      <c r="J76" s="1279"/>
      <c r="K76" s="1319">
        <f t="shared" si="4"/>
        <v>0</v>
      </c>
      <c r="L76" s="21" t="s">
        <v>950</v>
      </c>
      <c r="M76" s="75"/>
      <c r="N76" s="21"/>
      <c r="O76"/>
    </row>
    <row r="77" spans="1:15" ht="14.25">
      <c r="A77" s="78">
        <f t="shared" si="5"/>
        <v>41</v>
      </c>
      <c r="B77" s="1299" t="s">
        <v>1136</v>
      </c>
      <c r="C77" s="1302" t="s">
        <v>908</v>
      </c>
      <c r="D77" s="1303">
        <v>269801</v>
      </c>
      <c r="E77" s="1277">
        <f t="shared" si="6"/>
        <v>269801</v>
      </c>
      <c r="F77" s="1278"/>
      <c r="G77" s="1279"/>
      <c r="H77" s="1278"/>
      <c r="I77" s="1279"/>
      <c r="J77" s="1279"/>
      <c r="K77" s="1319">
        <f t="shared" si="4"/>
        <v>0</v>
      </c>
      <c r="L77" s="21" t="s">
        <v>598</v>
      </c>
      <c r="M77" s="75"/>
      <c r="N77" s="21"/>
      <c r="O77"/>
    </row>
    <row r="78" spans="1:15" ht="14.25">
      <c r="A78" s="78">
        <f t="shared" si="5"/>
        <v>42</v>
      </c>
      <c r="B78" s="1300" t="s">
        <v>886</v>
      </c>
      <c r="C78" s="1302" t="s">
        <v>887</v>
      </c>
      <c r="D78" s="1303">
        <v>512327.55</v>
      </c>
      <c r="E78" s="1277">
        <f t="shared" si="6"/>
        <v>0</v>
      </c>
      <c r="F78" s="1278"/>
      <c r="G78" s="1279"/>
      <c r="H78" s="1278"/>
      <c r="I78" s="1279">
        <f>D78</f>
        <v>512327.55</v>
      </c>
      <c r="J78" s="1279"/>
      <c r="K78" s="1319">
        <f t="shared" si="4"/>
        <v>512327.55</v>
      </c>
      <c r="L78" s="21" t="s">
        <v>533</v>
      </c>
      <c r="M78" s="75"/>
      <c r="N78" s="21"/>
      <c r="O78"/>
    </row>
    <row r="79" spans="1:15" ht="14.25">
      <c r="A79" s="78">
        <f t="shared" si="5"/>
        <v>43</v>
      </c>
      <c r="B79" s="1301" t="s">
        <v>909</v>
      </c>
      <c r="C79" s="1302" t="s">
        <v>910</v>
      </c>
      <c r="D79" s="1303">
        <v>36000</v>
      </c>
      <c r="E79" s="1277">
        <f t="shared" si="6"/>
        <v>36000</v>
      </c>
      <c r="F79" s="1278"/>
      <c r="G79" s="1279"/>
      <c r="H79" s="1278"/>
      <c r="I79" s="1279"/>
      <c r="J79" s="1279"/>
      <c r="K79" s="1319">
        <f t="shared" si="4"/>
        <v>0</v>
      </c>
      <c r="L79" s="21" t="s">
        <v>949</v>
      </c>
      <c r="M79" s="75"/>
      <c r="N79" s="21"/>
      <c r="O79"/>
    </row>
    <row r="80" spans="1:15" ht="14.25">
      <c r="A80" s="78">
        <f t="shared" si="5"/>
        <v>44</v>
      </c>
      <c r="B80" s="1304">
        <v>1650031</v>
      </c>
      <c r="C80" s="1302" t="s">
        <v>911</v>
      </c>
      <c r="D80" s="1303">
        <v>0</v>
      </c>
      <c r="E80" s="1277">
        <f t="shared" si="6"/>
        <v>0</v>
      </c>
      <c r="F80" s="1278"/>
      <c r="G80" s="1279"/>
      <c r="H80" s="1278"/>
      <c r="I80" s="1279"/>
      <c r="J80" s="1279"/>
      <c r="K80" s="1319">
        <f t="shared" si="4"/>
        <v>0</v>
      </c>
      <c r="L80" s="21" t="s">
        <v>116</v>
      </c>
      <c r="M80" s="75"/>
      <c r="N80" s="21"/>
      <c r="O80"/>
    </row>
    <row r="81" spans="1:15" ht="14.25">
      <c r="A81" s="78">
        <f t="shared" si="5"/>
        <v>45</v>
      </c>
      <c r="B81" s="1304">
        <v>1650033</v>
      </c>
      <c r="C81" s="1302" t="s">
        <v>912</v>
      </c>
      <c r="D81" s="1303">
        <v>0</v>
      </c>
      <c r="E81" s="1277">
        <f t="shared" si="6"/>
        <v>0</v>
      </c>
      <c r="F81" s="1278"/>
      <c r="G81" s="1279"/>
      <c r="H81" s="1278"/>
      <c r="I81" s="1279"/>
      <c r="J81" s="1279"/>
      <c r="K81" s="1319">
        <f t="shared" si="4"/>
        <v>0</v>
      </c>
      <c r="L81" s="21" t="s">
        <v>116</v>
      </c>
      <c r="M81" s="75"/>
      <c r="N81" s="21"/>
      <c r="O81"/>
    </row>
    <row r="82" spans="1:15" ht="14.25">
      <c r="A82" s="78">
        <f t="shared" si="5"/>
        <v>46</v>
      </c>
      <c r="B82" s="1304">
        <v>1650035</v>
      </c>
      <c r="C82" s="1302" t="s">
        <v>888</v>
      </c>
      <c r="D82" s="1303">
        <v>19143276.129999999</v>
      </c>
      <c r="E82" s="1277">
        <f t="shared" si="6"/>
        <v>0</v>
      </c>
      <c r="F82" s="1278"/>
      <c r="G82" s="1279"/>
      <c r="H82" s="1278"/>
      <c r="I82" s="1279"/>
      <c r="J82" s="1279">
        <f>D82</f>
        <v>19143276.129999999</v>
      </c>
      <c r="K82" s="1319">
        <f t="shared" si="4"/>
        <v>19143276.129999999</v>
      </c>
      <c r="L82" s="21" t="s">
        <v>599</v>
      </c>
      <c r="M82" s="75"/>
      <c r="N82" s="21"/>
      <c r="O82"/>
    </row>
    <row r="83" spans="1:15" ht="14.25">
      <c r="A83" s="78">
        <f t="shared" si="5"/>
        <v>47</v>
      </c>
      <c r="B83" s="1304">
        <v>1650036</v>
      </c>
      <c r="C83" s="1302" t="s">
        <v>889</v>
      </c>
      <c r="D83" s="1303">
        <v>0</v>
      </c>
      <c r="E83" s="1277">
        <f t="shared" si="6"/>
        <v>0</v>
      </c>
      <c r="F83" s="1278"/>
      <c r="G83" s="1279"/>
      <c r="H83" s="1278"/>
      <c r="I83" s="1279"/>
      <c r="J83" s="1279"/>
      <c r="K83" s="1319">
        <f t="shared" si="4"/>
        <v>0</v>
      </c>
      <c r="L83" s="21" t="s">
        <v>116</v>
      </c>
      <c r="M83" s="75"/>
      <c r="N83" s="21"/>
      <c r="O83"/>
    </row>
    <row r="84" spans="1:15" ht="14.25">
      <c r="A84" s="78">
        <f t="shared" si="5"/>
        <v>48</v>
      </c>
      <c r="B84" s="1304">
        <v>1650037</v>
      </c>
      <c r="C84" s="1302" t="s">
        <v>913</v>
      </c>
      <c r="D84" s="1303">
        <v>-19143276.129999999</v>
      </c>
      <c r="E84" s="1277">
        <f t="shared" si="6"/>
        <v>-19143276.129999999</v>
      </c>
      <c r="F84" s="1278"/>
      <c r="G84" s="1279"/>
      <c r="H84" s="1278"/>
      <c r="I84" s="1279"/>
      <c r="J84" s="1279"/>
      <c r="K84" s="1319">
        <f t="shared" si="4"/>
        <v>0</v>
      </c>
      <c r="L84" s="21" t="s">
        <v>31</v>
      </c>
      <c r="M84" s="75"/>
      <c r="N84" s="21"/>
      <c r="O84"/>
    </row>
    <row r="85" spans="1:15" ht="14.25">
      <c r="A85" s="78">
        <f t="shared" si="5"/>
        <v>49</v>
      </c>
      <c r="B85" s="889"/>
      <c r="C85" s="1302"/>
      <c r="D85" s="1303"/>
      <c r="E85" s="1277">
        <f t="shared" si="6"/>
        <v>0</v>
      </c>
      <c r="F85" s="1278"/>
      <c r="G85" s="1279"/>
      <c r="H85" s="1278"/>
      <c r="I85" s="1279"/>
      <c r="J85" s="1279"/>
      <c r="K85" s="1320"/>
      <c r="L85" s="21"/>
      <c r="M85" s="75"/>
      <c r="N85" s="21"/>
      <c r="O85"/>
    </row>
    <row r="86" spans="1:15" ht="14.25">
      <c r="A86" s="78">
        <f t="shared" si="5"/>
        <v>50</v>
      </c>
      <c r="B86" s="1304"/>
      <c r="C86" s="1302"/>
      <c r="D86" s="1303"/>
      <c r="E86" s="1277"/>
      <c r="F86" s="1278"/>
      <c r="G86" s="1279"/>
      <c r="H86" s="1278"/>
      <c r="I86" s="1279"/>
      <c r="J86" s="1279"/>
      <c r="K86" s="1279"/>
      <c r="L86" s="21"/>
      <c r="M86" s="75"/>
      <c r="N86" s="21"/>
      <c r="O86"/>
    </row>
    <row r="87" spans="1:15" ht="14.25">
      <c r="A87" s="78">
        <f t="shared" si="5"/>
        <v>51</v>
      </c>
      <c r="B87" s="889"/>
      <c r="C87" s="1302"/>
      <c r="D87" s="1303"/>
      <c r="E87" s="1279"/>
      <c r="F87" s="1278"/>
      <c r="G87" s="1279"/>
      <c r="H87" s="1278"/>
      <c r="I87" s="1279"/>
      <c r="J87" s="1279"/>
      <c r="K87" s="1279"/>
      <c r="L87" s="21"/>
      <c r="M87" s="75"/>
      <c r="N87" s="21"/>
      <c r="O87"/>
    </row>
    <row r="88" spans="1:15" ht="15" thickBot="1">
      <c r="A88" s="78">
        <f t="shared" si="5"/>
        <v>52</v>
      </c>
      <c r="B88" s="889"/>
      <c r="C88" s="1302"/>
      <c r="D88" s="1303"/>
      <c r="E88" s="1279">
        <f>D88</f>
        <v>0</v>
      </c>
      <c r="F88" s="1278"/>
      <c r="G88" s="1279"/>
      <c r="H88" s="1278"/>
      <c r="I88" s="1279"/>
      <c r="J88" s="1279"/>
      <c r="K88" s="1279"/>
      <c r="L88" s="21"/>
      <c r="M88" s="75"/>
      <c r="N88" s="21"/>
      <c r="O88"/>
    </row>
    <row r="89" spans="1:15" ht="14.25">
      <c r="A89" s="78"/>
      <c r="B89" s="145"/>
      <c r="C89" s="35" t="s">
        <v>385</v>
      </c>
      <c r="D89" s="890">
        <f>IF(SUM(D68:D88)=0,"",SUM(D68:D88))-1</f>
        <v>2186134.9899999984</v>
      </c>
      <c r="E89" s="1280">
        <f>IF(SUM(E68:E88)=0,"",SUM(E68:E88))</f>
        <v>-63507638.390000001</v>
      </c>
      <c r="F89" s="1278"/>
      <c r="G89" s="890" t="str">
        <f>IF(SUM(G68:G88)=0,"",SUM(G68:G88))</f>
        <v/>
      </c>
      <c r="H89" s="1278"/>
      <c r="I89" s="890">
        <f>IF(SUM(I68:I88)=0,"",SUM(I68:I88))</f>
        <v>1050392.6399999999</v>
      </c>
      <c r="J89" s="890">
        <f>IF(SUM(J68:J88)=0,"",SUM(J68:J88))</f>
        <v>64643381.739999995</v>
      </c>
      <c r="K89" s="890">
        <f>IF(SUM(K68:K88)=0,"",SUM(K68:K88))</f>
        <v>65693774.379999995</v>
      </c>
      <c r="L89"/>
      <c r="M89" s="75"/>
      <c r="N89" s="21"/>
      <c r="O89"/>
    </row>
    <row r="90" spans="1:15">
      <c r="A90" s="78"/>
      <c r="B90" s="78"/>
      <c r="C90"/>
      <c r="D90"/>
      <c r="E90"/>
      <c r="F90"/>
      <c r="G90"/>
      <c r="H90"/>
      <c r="I90"/>
      <c r="J90"/>
      <c r="K90"/>
      <c r="L90"/>
      <c r="M90" s="21"/>
      <c r="N90" s="21"/>
      <c r="O90"/>
    </row>
    <row r="91" spans="1:15" ht="18.75" customHeight="1">
      <c r="A91" s="78" t="s">
        <v>635</v>
      </c>
      <c r="B91" s="1521" t="s">
        <v>831</v>
      </c>
      <c r="C91" s="1521"/>
      <c r="D91" s="1521"/>
      <c r="E91" s="1521"/>
      <c r="F91" s="1521"/>
      <c r="G91" s="1521"/>
      <c r="H91" s="1521"/>
      <c r="I91" s="1521"/>
      <c r="J91" s="1521"/>
      <c r="K91" s="1521"/>
      <c r="L91" s="1521"/>
      <c r="M91" s="21"/>
      <c r="N91" s="21"/>
      <c r="O91"/>
    </row>
    <row r="92" spans="1:15" ht="18.75" customHeight="1">
      <c r="A92" s="5"/>
      <c r="B92" s="1521"/>
      <c r="C92" s="1521"/>
      <c r="D92" s="1521"/>
      <c r="E92" s="1521"/>
      <c r="F92" s="1521"/>
      <c r="G92" s="1521"/>
      <c r="H92" s="1521"/>
      <c r="I92" s="1521"/>
      <c r="J92" s="1521"/>
      <c r="K92" s="1521"/>
      <c r="L92" s="1521"/>
      <c r="M92" s="21"/>
      <c r="N92" s="21"/>
      <c r="O92"/>
    </row>
    <row r="93" spans="1:15" ht="18">
      <c r="E93" s="944"/>
      <c r="F93" s="944"/>
      <c r="G93" s="944"/>
      <c r="H93" s="944"/>
      <c r="I93" s="944"/>
      <c r="J93" s="944"/>
      <c r="K93" s="944"/>
      <c r="L93" s="85"/>
      <c r="M93" s="75"/>
      <c r="N93" s="75"/>
    </row>
  </sheetData>
  <mergeCells count="12">
    <mergeCell ref="B91:L92"/>
    <mergeCell ref="B10:K10"/>
    <mergeCell ref="A3:L3"/>
    <mergeCell ref="A4:L4"/>
    <mergeCell ref="A5:L5"/>
    <mergeCell ref="A6:L6"/>
    <mergeCell ref="B63:J63"/>
    <mergeCell ref="B24:K24"/>
    <mergeCell ref="E12:E13"/>
    <mergeCell ref="I12:I13"/>
    <mergeCell ref="B34:J34"/>
    <mergeCell ref="G12:G13"/>
  </mergeCells>
  <phoneticPr fontId="5"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D263" sqref="D263"/>
    </sheetView>
  </sheetViews>
  <sheetFormatPr defaultColWidth="8.85546875" defaultRowHeight="12.75"/>
  <cols>
    <col min="1" max="1" width="9.42578125" style="451" bestFit="1" customWidth="1"/>
    <col min="2" max="2" width="65.140625" style="357" bestFit="1" customWidth="1"/>
    <col min="3" max="3" width="12.5703125" style="357" bestFit="1" customWidth="1"/>
    <col min="4" max="4" width="1.5703125" style="357" customWidth="1"/>
    <col min="5" max="5" width="15" style="357" bestFit="1" customWidth="1"/>
    <col min="6" max="16384" width="8.85546875" style="357"/>
  </cols>
  <sheetData>
    <row r="1" spans="1:15" ht="15.75">
      <c r="A1" s="943" t="s">
        <v>116</v>
      </c>
    </row>
    <row r="2" spans="1:15" ht="15.75">
      <c r="A2" s="943" t="s">
        <v>116</v>
      </c>
    </row>
    <row r="3" spans="1:15" ht="15">
      <c r="A3" s="1527" t="str">
        <f>+'WS C  - Working Capital'!A3:L3</f>
        <v>AEP East Companies</v>
      </c>
      <c r="B3" s="1527"/>
      <c r="C3" s="1527"/>
      <c r="D3" s="1527"/>
      <c r="E3" s="1527"/>
      <c r="F3" s="558"/>
      <c r="G3" s="558"/>
      <c r="H3" s="558"/>
      <c r="I3" s="558"/>
      <c r="J3" s="558"/>
      <c r="K3" s="558"/>
      <c r="L3" s="558"/>
      <c r="M3" s="558"/>
      <c r="N3" s="558"/>
      <c r="O3" s="558"/>
    </row>
    <row r="4" spans="1:15" ht="15">
      <c r="A4" s="1528" t="str">
        <f>"Cost of Service Formula Rate Using Actual/Projected FF1 Balances"</f>
        <v>Cost of Service Formula Rate Using Actual/Projected FF1 Balances</v>
      </c>
      <c r="B4" s="1528"/>
      <c r="C4" s="1528"/>
      <c r="D4" s="1528"/>
      <c r="E4" s="1528"/>
      <c r="F4" s="559"/>
      <c r="G4" s="559"/>
      <c r="H4" s="559"/>
      <c r="I4" s="559"/>
      <c r="J4" s="559"/>
      <c r="K4" s="559"/>
      <c r="L4" s="559"/>
      <c r="M4" s="560"/>
      <c r="N4" s="560"/>
      <c r="O4" s="560"/>
    </row>
    <row r="5" spans="1:15" ht="15">
      <c r="A5" s="1528" t="s">
        <v>229</v>
      </c>
      <c r="B5" s="1528"/>
      <c r="C5" s="1528"/>
      <c r="D5" s="1528"/>
      <c r="E5" s="1528"/>
      <c r="F5" s="559"/>
      <c r="G5" s="559"/>
      <c r="H5" s="559"/>
      <c r="I5" s="559"/>
      <c r="J5" s="559"/>
      <c r="K5" s="559"/>
      <c r="L5" s="559"/>
      <c r="M5" s="559"/>
      <c r="N5" s="559"/>
      <c r="O5" s="559"/>
    </row>
    <row r="6" spans="1:15" ht="15">
      <c r="A6" s="1529" t="str">
        <f>TCOS!F9</f>
        <v>KENTUCKY POWER COMPANY</v>
      </c>
      <c r="B6" s="1529"/>
      <c r="C6" s="1529"/>
      <c r="D6" s="1529"/>
      <c r="E6" s="1529"/>
      <c r="F6" s="353"/>
      <c r="G6" s="353"/>
      <c r="H6" s="353"/>
      <c r="I6" s="353"/>
      <c r="J6" s="353"/>
      <c r="K6" s="353"/>
      <c r="L6" s="353"/>
      <c r="M6" s="353"/>
      <c r="N6" s="353"/>
      <c r="O6" s="353"/>
    </row>
    <row r="8" spans="1:15">
      <c r="A8" s="561" t="s">
        <v>171</v>
      </c>
      <c r="B8" s="562" t="s">
        <v>164</v>
      </c>
      <c r="C8" s="562" t="s">
        <v>165</v>
      </c>
    </row>
    <row r="9" spans="1:15">
      <c r="A9" s="561" t="s">
        <v>107</v>
      </c>
      <c r="B9" s="561" t="s">
        <v>169</v>
      </c>
      <c r="C9" s="561">
        <f>+TCOS!L4</f>
        <v>2020</v>
      </c>
    </row>
    <row r="10" spans="1:15">
      <c r="A10" s="563"/>
      <c r="B10" s="564"/>
      <c r="C10" s="562"/>
      <c r="F10" s="439"/>
    </row>
    <row r="11" spans="1:15">
      <c r="A11" s="451">
        <v>1</v>
      </c>
      <c r="B11" s="1164" t="str">
        <f>"Net Funds from IPP Customers 12/31/"&amp;TCOS!L4-1&amp;" ("&amp;TCOS!L4&amp;" FORM 1, P269)"</f>
        <v>Net Funds from IPP Customers 12/31/2019 (2020 FORM 1, P269)</v>
      </c>
      <c r="C11" s="886">
        <v>-340526</v>
      </c>
      <c r="D11" s="439"/>
      <c r="F11" s="439"/>
    </row>
    <row r="12" spans="1:15">
      <c r="B12" s="604"/>
      <c r="C12" s="891"/>
      <c r="D12" s="439"/>
      <c r="F12" s="439"/>
    </row>
    <row r="13" spans="1:15">
      <c r="A13" s="451">
        <v>2</v>
      </c>
      <c r="B13" s="1164" t="s">
        <v>72</v>
      </c>
      <c r="C13" s="886">
        <v>-14152</v>
      </c>
      <c r="D13" s="439"/>
      <c r="F13" s="439"/>
    </row>
    <row r="14" spans="1:15">
      <c r="B14" s="1164"/>
      <c r="C14" s="891"/>
      <c r="D14" s="439"/>
      <c r="F14" s="439"/>
    </row>
    <row r="15" spans="1:15">
      <c r="A15" s="451">
        <f>+A13+1</f>
        <v>3</v>
      </c>
      <c r="B15" s="1164" t="s">
        <v>73</v>
      </c>
      <c r="C15" s="886">
        <v>0</v>
      </c>
      <c r="D15" s="439"/>
      <c r="F15" s="439"/>
    </row>
    <row r="16" spans="1:15">
      <c r="B16" s="1164"/>
      <c r="C16" s="891"/>
      <c r="D16" s="439"/>
      <c r="F16" s="439"/>
    </row>
    <row r="17" spans="1:6">
      <c r="A17" s="451">
        <f>+A15+1</f>
        <v>4</v>
      </c>
      <c r="B17" s="1165" t="s">
        <v>230</v>
      </c>
      <c r="C17" s="891"/>
      <c r="D17" s="439"/>
      <c r="F17" s="439"/>
    </row>
    <row r="18" spans="1:6">
      <c r="A18" s="451">
        <f>+A17+1</f>
        <v>5</v>
      </c>
      <c r="B18" s="1164" t="s">
        <v>74</v>
      </c>
      <c r="C18" s="886">
        <v>0</v>
      </c>
      <c r="D18" s="439"/>
      <c r="F18" s="439"/>
    </row>
    <row r="19" spans="1:6">
      <c r="A19" s="451">
        <f>+A18+1</f>
        <v>6</v>
      </c>
      <c r="B19" s="1157" t="s">
        <v>116</v>
      </c>
      <c r="C19" s="892">
        <v>0</v>
      </c>
      <c r="D19" s="439"/>
      <c r="F19" s="439"/>
    </row>
    <row r="20" spans="1:6">
      <c r="B20" s="604"/>
      <c r="C20" s="893"/>
      <c r="D20" s="439"/>
      <c r="F20" s="439"/>
    </row>
    <row r="21" spans="1:6">
      <c r="A21" s="451">
        <f>+A19+1</f>
        <v>7</v>
      </c>
      <c r="B21" s="1164" t="str">
        <f>"Net Funds from IPP Customers 12/31/"&amp;TCOS!L4&amp;" ("&amp;TCOS!L4&amp;" FORM 1, P269)"</f>
        <v>Net Funds from IPP Customers 12/31/2020 (2020 FORM 1, P269)</v>
      </c>
      <c r="C21" s="886">
        <f>+C11+C13+C15+C18+C19</f>
        <v>-354678</v>
      </c>
      <c r="D21" s="567"/>
      <c r="F21" s="439"/>
    </row>
    <row r="22" spans="1:6">
      <c r="B22" s="604"/>
      <c r="C22" s="566"/>
      <c r="D22" s="439"/>
      <c r="F22" s="439"/>
    </row>
    <row r="23" spans="1:6">
      <c r="A23" s="451">
        <f>+A21+1</f>
        <v>8</v>
      </c>
      <c r="B23" s="1164" t="str">
        <f>"Average Balance for Year as Indicated in Column B ((ln "&amp;A11&amp;" + ln "&amp;A21&amp;")/2)"</f>
        <v>Average Balance for Year as Indicated in Column B ((ln 1 + ln 7)/2)</v>
      </c>
      <c r="C23" s="568">
        <f>AVERAGE(C21,C11)</f>
        <v>-347602</v>
      </c>
      <c r="D23" s="439"/>
      <c r="F23" s="439"/>
    </row>
    <row r="24" spans="1:6">
      <c r="B24" s="604"/>
      <c r="D24" s="439"/>
    </row>
    <row r="25" spans="1:6">
      <c r="B25" s="395"/>
      <c r="C25" s="569"/>
      <c r="D25" s="439"/>
    </row>
    <row r="26" spans="1:6" ht="15">
      <c r="A26" s="345" t="s">
        <v>501</v>
      </c>
      <c r="B26" s="1483" t="str">
        <f>"On this worksheet Company Records refers to  "&amp;A6&amp;"'s general ledger."</f>
        <v>On this worksheet Company Records refers to  KENTUCKY POWER COMPANY's general ledger.</v>
      </c>
      <c r="D26" s="439"/>
    </row>
    <row r="27" spans="1:6">
      <c r="B27" s="1476"/>
      <c r="D27" s="439"/>
    </row>
    <row r="28" spans="1:6">
      <c r="B28" s="570"/>
      <c r="D28" s="439"/>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9"/>
  <sheetViews>
    <sheetView view="pageBreakPreview" topLeftCell="A7" zoomScaleNormal="100" zoomScaleSheetLayoutView="100" workbookViewId="0">
      <selection activeCell="D263" sqref="D263"/>
    </sheetView>
  </sheetViews>
  <sheetFormatPr defaultColWidth="9.140625" defaultRowHeight="15"/>
  <cols>
    <col min="1" max="1" width="9.42578125" style="571" customWidth="1"/>
    <col min="2" max="2" width="6.5703125" style="571" customWidth="1"/>
    <col min="3" max="8" width="14.5703125" style="571" customWidth="1"/>
    <col min="9" max="9" width="14.85546875" style="571" bestFit="1" customWidth="1"/>
    <col min="10" max="11" width="16.5703125" style="571" bestFit="1" customWidth="1"/>
    <col min="12" max="13" width="22.140625" style="571" bestFit="1" customWidth="1"/>
    <col min="14" max="14" width="8.42578125" style="571" customWidth="1"/>
    <col min="15" max="38" width="12.5703125" style="571" customWidth="1"/>
    <col min="39" max="16384" width="9.140625" style="571"/>
  </cols>
  <sheetData>
    <row r="1" spans="1:22" ht="15.75">
      <c r="A1" s="943" t="s">
        <v>116</v>
      </c>
    </row>
    <row r="2" spans="1:22" ht="15.75">
      <c r="A2" s="943" t="s">
        <v>116</v>
      </c>
    </row>
    <row r="3" spans="1:22">
      <c r="A3" s="1527" t="str">
        <f>+'WS C  - Working Capital'!A3:L3</f>
        <v>AEP East Companies</v>
      </c>
      <c r="B3" s="1527"/>
      <c r="C3" s="1527"/>
      <c r="D3" s="1527"/>
      <c r="E3" s="1527"/>
      <c r="F3" s="1527"/>
      <c r="G3" s="1527"/>
      <c r="H3" s="1527"/>
      <c r="I3" s="1527"/>
      <c r="J3" s="1527"/>
      <c r="K3" s="1527"/>
      <c r="L3" s="558"/>
      <c r="M3" s="558"/>
      <c r="N3" s="558"/>
      <c r="O3" s="558"/>
    </row>
    <row r="4" spans="1:22">
      <c r="A4" s="1528" t="str">
        <f>"Cost of Service Formula Rate Using Actual/Projected FF1 Balances"</f>
        <v>Cost of Service Formula Rate Using Actual/Projected FF1 Balances</v>
      </c>
      <c r="B4" s="1528"/>
      <c r="C4" s="1528"/>
      <c r="D4" s="1528"/>
      <c r="E4" s="1528"/>
      <c r="F4" s="1528"/>
      <c r="G4" s="1528"/>
      <c r="H4" s="1528"/>
      <c r="I4" s="1528"/>
      <c r="J4" s="1528"/>
      <c r="K4" s="1528"/>
      <c r="L4" s="560"/>
      <c r="M4" s="560"/>
      <c r="N4" s="560"/>
      <c r="O4" s="560"/>
    </row>
    <row r="5" spans="1:22">
      <c r="A5" s="1528" t="s">
        <v>239</v>
      </c>
      <c r="B5" s="1528"/>
      <c r="C5" s="1528"/>
      <c r="D5" s="1528"/>
      <c r="E5" s="1528"/>
      <c r="F5" s="1528"/>
      <c r="G5" s="1528"/>
      <c r="H5" s="1528"/>
      <c r="I5" s="1528"/>
      <c r="J5" s="1528"/>
      <c r="K5" s="1528"/>
      <c r="L5" s="559"/>
      <c r="M5" s="559"/>
      <c r="N5" s="559"/>
      <c r="O5" s="559"/>
    </row>
    <row r="6" spans="1:22">
      <c r="A6" s="1529" t="str">
        <f>TCOS!F9</f>
        <v>KENTUCKY POWER COMPANY</v>
      </c>
      <c r="B6" s="1529"/>
      <c r="C6" s="1529"/>
      <c r="D6" s="1529"/>
      <c r="E6" s="1529"/>
      <c r="F6" s="1529"/>
      <c r="G6" s="1529"/>
      <c r="H6" s="1529"/>
      <c r="I6" s="1529"/>
      <c r="J6" s="1529"/>
      <c r="K6" s="1529"/>
      <c r="L6" s="353"/>
      <c r="M6" s="353"/>
      <c r="N6" s="353"/>
      <c r="O6" s="353"/>
    </row>
    <row r="7" spans="1:22">
      <c r="A7" s="572"/>
      <c r="B7" s="572"/>
      <c r="C7" s="572"/>
      <c r="D7" s="572"/>
      <c r="E7" s="572"/>
      <c r="F7" s="572"/>
      <c r="G7" s="572"/>
      <c r="H7" s="572"/>
      <c r="I7" s="572"/>
      <c r="J7" s="572"/>
      <c r="K7" s="572"/>
      <c r="L7" s="572"/>
      <c r="M7" s="572"/>
      <c r="N7" s="572"/>
      <c r="O7" s="572"/>
    </row>
    <row r="8" spans="1:22" ht="18">
      <c r="A8" s="1532"/>
      <c r="B8" s="1532"/>
      <c r="C8" s="1532"/>
      <c r="D8" s="1532"/>
      <c r="E8" s="1532"/>
      <c r="F8" s="1532"/>
      <c r="G8" s="1532"/>
      <c r="H8" s="1532"/>
      <c r="I8" s="1532"/>
      <c r="J8" s="1532"/>
      <c r="K8" s="1532"/>
      <c r="L8" s="574"/>
      <c r="M8" s="575"/>
    </row>
    <row r="9" spans="1:22" ht="18">
      <c r="A9" s="573"/>
      <c r="B9" s="573"/>
      <c r="C9" s="573"/>
      <c r="D9" s="573"/>
      <c r="E9" s="573"/>
      <c r="F9" s="573"/>
      <c r="G9" s="573"/>
      <c r="H9" s="573"/>
      <c r="I9" s="573"/>
      <c r="J9" s="573"/>
      <c r="K9" s="573"/>
      <c r="L9" s="574"/>
      <c r="M9" s="575"/>
    </row>
    <row r="10" spans="1:22" ht="15.75">
      <c r="A10" s="576" t="s">
        <v>171</v>
      </c>
      <c r="B10" s="574"/>
      <c r="C10" s="577"/>
      <c r="D10" s="577"/>
      <c r="E10" s="577"/>
      <c r="F10" s="577"/>
      <c r="G10" s="578"/>
      <c r="H10" s="578"/>
      <c r="I10" s="576" t="s">
        <v>184</v>
      </c>
      <c r="J10" s="576" t="s">
        <v>28</v>
      </c>
      <c r="K10" s="579"/>
      <c r="N10" s="580"/>
      <c r="P10" s="580"/>
      <c r="R10" s="580"/>
      <c r="S10" s="580"/>
      <c r="T10" s="580"/>
      <c r="U10" s="546"/>
      <c r="V10" s="546"/>
    </row>
    <row r="11" spans="1:22" ht="15.75">
      <c r="A11" s="576" t="s">
        <v>107</v>
      </c>
      <c r="B11" s="1533" t="s">
        <v>169</v>
      </c>
      <c r="C11" s="1533"/>
      <c r="D11" s="1533"/>
      <c r="E11" s="1533"/>
      <c r="F11" s="1533"/>
      <c r="G11" s="1533"/>
      <c r="H11" s="1533"/>
      <c r="I11" s="581" t="s">
        <v>185</v>
      </c>
      <c r="J11" s="581" t="s">
        <v>117</v>
      </c>
      <c r="K11" s="581" t="s">
        <v>117</v>
      </c>
      <c r="L11" s="582"/>
      <c r="M11" s="582"/>
      <c r="N11" s="580"/>
      <c r="O11" s="580"/>
      <c r="P11" s="580"/>
      <c r="Q11" s="580"/>
      <c r="R11" s="580"/>
      <c r="S11" s="580"/>
      <c r="T11" s="583"/>
      <c r="U11" s="546"/>
      <c r="V11" s="546"/>
    </row>
    <row r="12" spans="1:22" ht="15.75">
      <c r="A12" s="578"/>
      <c r="B12" s="584"/>
      <c r="C12" s="574"/>
      <c r="D12" s="578"/>
      <c r="E12" s="578"/>
      <c r="F12" s="578"/>
      <c r="G12" s="578"/>
      <c r="H12" s="578"/>
      <c r="I12" s="578"/>
      <c r="J12" s="578"/>
      <c r="K12" s="585"/>
      <c r="L12" s="582"/>
      <c r="M12" s="582"/>
      <c r="N12" s="580"/>
      <c r="O12" s="580"/>
      <c r="P12" s="580"/>
      <c r="Q12" s="580"/>
      <c r="R12" s="580"/>
      <c r="S12" s="580"/>
      <c r="T12" s="583"/>
      <c r="U12" s="546"/>
      <c r="V12" s="546"/>
    </row>
    <row r="13" spans="1:22" s="592" customFormat="1" ht="12.75">
      <c r="A13" s="586">
        <v>1</v>
      </c>
      <c r="B13" s="587" t="s">
        <v>484</v>
      </c>
      <c r="C13" s="570"/>
      <c r="D13" s="588"/>
      <c r="E13" s="588"/>
      <c r="F13" s="588"/>
      <c r="G13" s="588"/>
      <c r="H13" s="588"/>
      <c r="I13" s="894">
        <v>1249627.04</v>
      </c>
      <c r="J13" s="589">
        <f>+I13-K12</f>
        <v>1249627.04</v>
      </c>
      <c r="K13" s="894">
        <v>0</v>
      </c>
      <c r="L13" s="590"/>
      <c r="M13" s="590"/>
      <c r="N13" s="570"/>
      <c r="O13" s="570"/>
      <c r="P13" s="570"/>
      <c r="Q13" s="570"/>
      <c r="R13" s="570"/>
      <c r="S13" s="570"/>
      <c r="T13" s="591"/>
      <c r="U13" s="570"/>
      <c r="V13" s="570"/>
    </row>
    <row r="14" spans="1:22" s="592" customFormat="1" ht="12.75">
      <c r="A14" s="593"/>
      <c r="B14" s="594"/>
      <c r="C14" s="595"/>
      <c r="D14" s="596"/>
      <c r="E14" s="596"/>
      <c r="F14" s="596"/>
      <c r="G14" s="596"/>
      <c r="H14" s="588"/>
      <c r="I14" s="597"/>
      <c r="J14" s="598"/>
      <c r="K14" s="597"/>
      <c r="L14" s="590"/>
      <c r="M14" s="590"/>
      <c r="N14" s="570"/>
      <c r="O14" s="570"/>
      <c r="P14" s="570"/>
      <c r="Q14" s="570"/>
      <c r="R14" s="570"/>
      <c r="S14" s="570"/>
      <c r="T14" s="591"/>
      <c r="U14" s="570"/>
      <c r="V14" s="570"/>
    </row>
    <row r="15" spans="1:22" s="592" customFormat="1" ht="12.75">
      <c r="A15" s="586">
        <f>+A13+1</f>
        <v>2</v>
      </c>
      <c r="B15" s="599" t="s">
        <v>485</v>
      </c>
      <c r="C15" s="570"/>
      <c r="D15" s="588"/>
      <c r="E15" s="588"/>
      <c r="F15" s="588"/>
      <c r="G15" s="588"/>
      <c r="H15" s="588"/>
      <c r="I15" s="894">
        <v>171555.15</v>
      </c>
      <c r="J15" s="589">
        <f>+I15-K15</f>
        <v>157999.35</v>
      </c>
      <c r="K15" s="894">
        <v>13555.800000000001</v>
      </c>
      <c r="L15" s="590"/>
      <c r="M15" s="590"/>
      <c r="N15" s="570"/>
      <c r="O15" s="570"/>
      <c r="P15" s="570"/>
      <c r="Q15" s="570"/>
      <c r="R15" s="570"/>
      <c r="S15" s="570"/>
      <c r="T15" s="570"/>
      <c r="U15" s="570"/>
      <c r="V15" s="570"/>
    </row>
    <row r="16" spans="1:22" s="592" customFormat="1" ht="12.75">
      <c r="A16" s="593"/>
      <c r="B16" s="600"/>
      <c r="C16" s="595"/>
      <c r="D16" s="596"/>
      <c r="E16" s="596"/>
      <c r="F16" s="596"/>
      <c r="G16" s="596"/>
      <c r="H16" s="588"/>
      <c r="I16" s="598"/>
      <c r="J16" s="598"/>
      <c r="K16" s="598"/>
      <c r="L16" s="590"/>
      <c r="M16" s="590"/>
      <c r="N16" s="570"/>
      <c r="O16" s="570"/>
      <c r="P16" s="570"/>
      <c r="Q16" s="570"/>
      <c r="R16" s="570"/>
      <c r="S16" s="570"/>
      <c r="T16" s="570"/>
      <c r="U16" s="570"/>
      <c r="V16" s="570"/>
    </row>
    <row r="17" spans="1:22" s="592" customFormat="1" ht="12.75">
      <c r="A17" s="586">
        <f>+A15+1</f>
        <v>3</v>
      </c>
      <c r="B17" s="599" t="s">
        <v>486</v>
      </c>
      <c r="C17" s="570"/>
      <c r="D17" s="588"/>
      <c r="E17" s="588"/>
      <c r="F17" s="588"/>
      <c r="G17" s="588"/>
      <c r="H17" s="588"/>
      <c r="I17" s="894">
        <v>9050959.3020000011</v>
      </c>
      <c r="J17" s="589">
        <f>+I17-K17</f>
        <v>8611400.012000002</v>
      </c>
      <c r="K17" s="894">
        <v>439559.29000000004</v>
      </c>
      <c r="L17" s="590"/>
      <c r="M17" s="590"/>
      <c r="N17" s="570"/>
      <c r="O17" s="570"/>
      <c r="P17" s="570"/>
      <c r="Q17" s="570"/>
      <c r="R17" s="570"/>
      <c r="S17" s="570"/>
      <c r="T17" s="570"/>
      <c r="U17" s="570"/>
      <c r="V17" s="570"/>
    </row>
    <row r="18" spans="1:22" s="592" customFormat="1" ht="12.75">
      <c r="A18" s="593"/>
      <c r="B18" s="598"/>
      <c r="C18" s="604"/>
      <c r="D18" s="598"/>
      <c r="E18" s="598"/>
      <c r="F18" s="598"/>
      <c r="G18" s="601"/>
      <c r="H18" s="598"/>
      <c r="I18" s="598"/>
      <c r="J18" s="598"/>
      <c r="K18" s="598"/>
      <c r="L18" s="590"/>
      <c r="M18" s="590"/>
      <c r="N18" s="570"/>
      <c r="O18" s="570"/>
      <c r="P18" s="570"/>
      <c r="Q18" s="570"/>
      <c r="R18" s="570"/>
      <c r="S18" s="570"/>
      <c r="T18" s="570"/>
      <c r="U18" s="570"/>
      <c r="V18" s="570"/>
    </row>
    <row r="19" spans="1:22" s="592" customFormat="1" ht="12.75">
      <c r="A19" s="586">
        <f>+A17+1</f>
        <v>4</v>
      </c>
      <c r="B19" s="587" t="s">
        <v>765</v>
      </c>
      <c r="C19" s="604"/>
      <c r="D19" s="598"/>
      <c r="E19" s="598"/>
      <c r="F19" s="598"/>
      <c r="G19" s="601"/>
      <c r="H19" s="598"/>
      <c r="I19" s="894">
        <v>246744.35</v>
      </c>
      <c r="J19" s="589">
        <f>+I19-K19</f>
        <v>246744.35</v>
      </c>
      <c r="K19" s="894">
        <v>0</v>
      </c>
      <c r="L19" s="590"/>
      <c r="M19" s="590"/>
      <c r="N19" s="603"/>
      <c r="O19" s="570"/>
      <c r="P19" s="570"/>
      <c r="Q19" s="570"/>
      <c r="R19" s="570"/>
      <c r="S19" s="570"/>
      <c r="T19" s="570"/>
      <c r="U19" s="570"/>
      <c r="V19" s="570"/>
    </row>
    <row r="20" spans="1:22" s="592" customFormat="1" ht="12.75">
      <c r="A20" s="593"/>
      <c r="B20" s="587"/>
      <c r="C20" s="604"/>
      <c r="D20" s="598"/>
      <c r="E20" s="598"/>
      <c r="F20" s="598"/>
      <c r="G20" s="601"/>
      <c r="H20" s="598"/>
      <c r="I20" s="570"/>
      <c r="J20" s="570"/>
      <c r="K20" s="570"/>
      <c r="L20" s="604"/>
      <c r="M20" s="590"/>
      <c r="N20" s="603"/>
      <c r="O20" s="570"/>
      <c r="P20" s="570"/>
      <c r="Q20" s="570"/>
      <c r="R20" s="570"/>
      <c r="S20" s="570"/>
      <c r="T20" s="570"/>
      <c r="U20" s="570"/>
      <c r="V20" s="570"/>
    </row>
    <row r="21" spans="1:22" s="592" customFormat="1" ht="12.75">
      <c r="A21" s="586">
        <f>+A19+1</f>
        <v>5</v>
      </c>
      <c r="B21" s="587" t="s">
        <v>766</v>
      </c>
      <c r="C21" s="604"/>
      <c r="D21" s="598"/>
      <c r="E21" s="598"/>
      <c r="F21" s="598"/>
      <c r="G21" s="601"/>
      <c r="H21" s="598"/>
      <c r="I21" s="894">
        <v>21982728.619999997</v>
      </c>
      <c r="J21" s="589">
        <f>+I21-K21</f>
        <v>21982728.619999997</v>
      </c>
      <c r="K21" s="894">
        <v>0</v>
      </c>
      <c r="L21" s="590"/>
      <c r="M21" s="590"/>
      <c r="N21" s="603"/>
      <c r="O21" s="570"/>
      <c r="P21" s="570"/>
      <c r="Q21" s="570"/>
      <c r="R21" s="570"/>
      <c r="S21" s="570"/>
      <c r="T21" s="570"/>
      <c r="U21" s="570"/>
      <c r="V21" s="570"/>
    </row>
    <row r="22" spans="1:22" s="592" customFormat="1" ht="12.75">
      <c r="A22" s="586"/>
      <c r="B22" s="587"/>
      <c r="C22" s="604"/>
      <c r="D22" s="598"/>
      <c r="E22" s="598"/>
      <c r="F22" s="598"/>
      <c r="G22" s="601"/>
      <c r="H22" s="598"/>
      <c r="I22" s="942"/>
      <c r="J22" s="589"/>
      <c r="K22" s="942"/>
      <c r="L22" s="590"/>
      <c r="M22" s="590"/>
      <c r="N22" s="603"/>
      <c r="O22" s="570"/>
      <c r="P22" s="570"/>
      <c r="Q22" s="570"/>
      <c r="R22" s="570"/>
      <c r="S22" s="570"/>
      <c r="T22" s="570"/>
      <c r="U22" s="570"/>
      <c r="V22" s="570"/>
    </row>
    <row r="23" spans="1:22" s="592" customFormat="1" ht="12.75">
      <c r="A23" s="586" t="s">
        <v>626</v>
      </c>
      <c r="B23" s="587" t="s">
        <v>629</v>
      </c>
      <c r="C23" s="604"/>
      <c r="D23" s="598"/>
      <c r="E23" s="598"/>
      <c r="F23" s="598"/>
      <c r="G23" s="601"/>
      <c r="H23" s="598"/>
      <c r="I23" s="894"/>
      <c r="J23" s="589">
        <v>0</v>
      </c>
      <c r="K23" s="894"/>
      <c r="L23" s="590"/>
      <c r="M23" s="590"/>
      <c r="N23" s="603"/>
      <c r="O23" s="570"/>
      <c r="P23" s="570"/>
      <c r="Q23" s="570"/>
      <c r="R23" s="570"/>
      <c r="S23" s="570"/>
      <c r="T23" s="570"/>
      <c r="U23" s="570"/>
      <c r="V23" s="570"/>
    </row>
    <row r="24" spans="1:22" s="592" customFormat="1" ht="12.75">
      <c r="A24" s="586"/>
      <c r="B24" s="587"/>
      <c r="C24" s="604"/>
      <c r="D24" s="598"/>
      <c r="E24" s="598"/>
      <c r="F24" s="598"/>
      <c r="G24" s="601"/>
      <c r="H24" s="598"/>
      <c r="I24" s="942"/>
      <c r="J24" s="589"/>
      <c r="K24" s="942"/>
      <c r="L24" s="590"/>
      <c r="M24" s="590"/>
      <c r="N24" s="603"/>
      <c r="O24" s="570"/>
      <c r="P24" s="570"/>
      <c r="Q24" s="570"/>
      <c r="R24" s="570"/>
      <c r="S24" s="570"/>
      <c r="T24" s="570"/>
      <c r="U24" s="570"/>
      <c r="V24" s="570"/>
    </row>
    <row r="25" spans="1:22" s="592" customFormat="1" ht="12.75">
      <c r="A25" s="586" t="s">
        <v>627</v>
      </c>
      <c r="B25" s="587" t="s">
        <v>628</v>
      </c>
      <c r="C25" s="604"/>
      <c r="D25" s="598"/>
      <c r="E25" s="598"/>
      <c r="F25" s="598"/>
      <c r="G25" s="601"/>
      <c r="H25" s="598"/>
      <c r="I25" s="894"/>
      <c r="J25" s="589">
        <v>0</v>
      </c>
      <c r="K25" s="894"/>
      <c r="L25" s="590"/>
      <c r="M25" s="590"/>
      <c r="N25" s="603"/>
      <c r="O25" s="570"/>
      <c r="P25" s="570"/>
      <c r="Q25" s="570"/>
      <c r="R25" s="570"/>
      <c r="S25" s="570"/>
      <c r="T25" s="570"/>
      <c r="U25" s="570"/>
      <c r="V25" s="570"/>
    </row>
    <row r="26" spans="1:22" s="592" customFormat="1" ht="12.75">
      <c r="A26" s="586"/>
      <c r="B26" s="587"/>
      <c r="C26" s="604"/>
      <c r="D26" s="598"/>
      <c r="E26" s="598"/>
      <c r="F26" s="598"/>
      <c r="G26" s="601"/>
      <c r="H26" s="598"/>
      <c r="I26" s="570"/>
      <c r="J26" s="570"/>
      <c r="L26" s="590"/>
      <c r="M26" s="590"/>
      <c r="N26" s="570"/>
      <c r="O26" s="570"/>
      <c r="P26" s="570"/>
      <c r="Q26" s="570"/>
      <c r="R26" s="570"/>
      <c r="S26" s="570"/>
      <c r="T26" s="570"/>
      <c r="U26" s="570"/>
      <c r="V26" s="570"/>
    </row>
    <row r="27" spans="1:22" s="592" customFormat="1" ht="12.75">
      <c r="A27" s="586">
        <f>+A21+1</f>
        <v>6</v>
      </c>
      <c r="B27" s="587" t="s">
        <v>75</v>
      </c>
      <c r="C27" s="604"/>
      <c r="D27" s="598"/>
      <c r="E27" s="598"/>
      <c r="F27" s="598"/>
      <c r="G27" s="601"/>
      <c r="H27" s="598"/>
      <c r="I27" s="605">
        <f>+I21+I19+I17+I15+I13+I23+I25</f>
        <v>32701614.461999997</v>
      </c>
      <c r="J27" s="605">
        <f>+J21+J19+J17+J15+J13+J23+J25</f>
        <v>32248499.372000001</v>
      </c>
      <c r="K27" s="605">
        <f>+K21+K19+K17+K15+K13+K23+K25</f>
        <v>453115.09</v>
      </c>
      <c r="L27" s="590"/>
      <c r="M27" s="590"/>
      <c r="N27" s="570"/>
      <c r="O27" s="570"/>
      <c r="P27" s="570"/>
      <c r="Q27" s="570"/>
      <c r="R27" s="570"/>
      <c r="S27" s="570"/>
      <c r="T27" s="570"/>
      <c r="U27" s="570"/>
      <c r="V27" s="570"/>
    </row>
    <row r="28" spans="1:22" s="592" customFormat="1" ht="12.75">
      <c r="A28" s="586"/>
      <c r="B28" s="587"/>
      <c r="C28" s="604"/>
      <c r="D28" s="598"/>
      <c r="E28" s="598"/>
      <c r="F28" s="598"/>
      <c r="G28" s="601"/>
      <c r="H28" s="598"/>
      <c r="I28" s="570"/>
      <c r="J28" s="570"/>
      <c r="K28" s="570"/>
      <c r="L28" s="590"/>
      <c r="M28" s="590"/>
      <c r="N28" s="570"/>
      <c r="O28" s="570"/>
      <c r="P28" s="570"/>
      <c r="Q28" s="570"/>
      <c r="R28" s="570"/>
      <c r="S28" s="570"/>
      <c r="T28" s="570"/>
      <c r="U28" s="570"/>
      <c r="V28" s="570"/>
    </row>
    <row r="29" spans="1:22" s="592" customFormat="1" ht="12.75">
      <c r="A29" s="586">
        <f>+A27+1</f>
        <v>7</v>
      </c>
      <c r="B29" s="1531" t="s">
        <v>487</v>
      </c>
      <c r="C29" s="1476"/>
      <c r="D29" s="1476"/>
      <c r="E29" s="1476"/>
      <c r="F29" s="1476"/>
      <c r="G29" s="1476"/>
      <c r="H29" s="598"/>
      <c r="I29" s="894"/>
      <c r="J29" s="589">
        <f>+I29-K29</f>
        <v>0</v>
      </c>
      <c r="K29" s="894"/>
      <c r="L29" s="590"/>
      <c r="M29" s="590"/>
      <c r="N29" s="570"/>
      <c r="O29" s="570"/>
      <c r="P29" s="570"/>
      <c r="Q29" s="570"/>
      <c r="R29" s="570"/>
      <c r="S29" s="570"/>
      <c r="T29" s="570"/>
      <c r="U29" s="570"/>
      <c r="V29" s="570"/>
    </row>
    <row r="30" spans="1:22" s="592" customFormat="1" ht="12.75">
      <c r="A30" s="1157"/>
      <c r="B30" s="1476"/>
      <c r="C30" s="1476"/>
      <c r="D30" s="1476"/>
      <c r="E30" s="1476"/>
      <c r="F30" s="1476"/>
      <c r="G30" s="1476"/>
      <c r="H30" s="588"/>
      <c r="I30" s="606"/>
      <c r="J30" s="588"/>
      <c r="K30" s="607"/>
      <c r="L30" s="590"/>
      <c r="M30" s="590"/>
      <c r="N30" s="570"/>
      <c r="O30" s="570"/>
      <c r="P30" s="570"/>
      <c r="Q30" s="570"/>
      <c r="R30" s="570"/>
      <c r="S30" s="570"/>
      <c r="T30" s="570"/>
      <c r="U30" s="570"/>
      <c r="V30" s="570"/>
    </row>
    <row r="31" spans="1:22" s="592" customFormat="1" ht="12.75">
      <c r="A31" s="586">
        <f>+A29+1</f>
        <v>8</v>
      </c>
      <c r="B31" s="594" t="s">
        <v>217</v>
      </c>
      <c r="C31" s="595"/>
      <c r="D31" s="596"/>
      <c r="E31" s="596"/>
      <c r="F31" s="596"/>
      <c r="G31" s="602"/>
      <c r="H31" s="588"/>
      <c r="I31" s="608">
        <f>SUM(I27:I29)</f>
        <v>32701614.461999997</v>
      </c>
      <c r="J31" s="608">
        <f>SUM(J27:J29)</f>
        <v>32248499.372000001</v>
      </c>
      <c r="K31" s="608">
        <f>SUM(K27:K29)</f>
        <v>453115.09</v>
      </c>
      <c r="L31" s="590"/>
      <c r="M31" s="590"/>
      <c r="N31" s="570"/>
      <c r="O31" s="570"/>
      <c r="P31" s="570"/>
      <c r="Q31" s="570"/>
      <c r="R31" s="570"/>
      <c r="S31" s="570"/>
      <c r="T31" s="570"/>
      <c r="U31" s="570"/>
      <c r="V31" s="570"/>
    </row>
    <row r="32" spans="1:22" s="592" customFormat="1" ht="12.75">
      <c r="A32" s="586"/>
      <c r="B32" s="594"/>
      <c r="C32" s="595"/>
      <c r="D32" s="596"/>
      <c r="E32" s="596"/>
      <c r="F32" s="596"/>
      <c r="G32" s="602"/>
      <c r="H32" s="588"/>
      <c r="I32" s="607"/>
      <c r="J32" s="607"/>
      <c r="K32" s="607"/>
      <c r="L32" s="590"/>
      <c r="M32" s="590"/>
      <c r="N32" s="570"/>
      <c r="O32" s="570"/>
      <c r="P32" s="570"/>
      <c r="Q32" s="570"/>
      <c r="R32" s="570"/>
      <c r="S32" s="570"/>
      <c r="T32" s="570"/>
      <c r="U32" s="570"/>
      <c r="V32" s="570"/>
    </row>
    <row r="33" spans="1:41" s="592" customFormat="1" ht="12.75">
      <c r="A33" s="586"/>
      <c r="B33" s="594"/>
      <c r="C33" s="595"/>
      <c r="D33" s="596"/>
      <c r="E33" s="596"/>
      <c r="F33" s="596"/>
      <c r="G33" s="602"/>
      <c r="H33" s="588"/>
      <c r="I33" s="607"/>
      <c r="J33" s="607"/>
      <c r="K33" s="607"/>
      <c r="L33" s="590"/>
      <c r="M33" s="590"/>
      <c r="N33" s="570"/>
      <c r="O33" s="570"/>
      <c r="P33" s="570"/>
      <c r="Q33" s="570"/>
      <c r="R33" s="570"/>
      <c r="S33" s="570"/>
      <c r="T33" s="570"/>
      <c r="U33" s="570"/>
      <c r="V33" s="570"/>
    </row>
    <row r="34" spans="1:41" s="592" customFormat="1" ht="12.75">
      <c r="A34" s="1168"/>
      <c r="L34" s="590"/>
      <c r="M34" s="590"/>
      <c r="N34" s="570"/>
      <c r="O34" s="570"/>
      <c r="P34" s="570"/>
      <c r="Q34" s="570"/>
      <c r="R34" s="570"/>
      <c r="S34" s="570"/>
      <c r="T34" s="570"/>
      <c r="U34" s="570"/>
      <c r="V34" s="570"/>
    </row>
    <row r="35" spans="1:41">
      <c r="A35" s="1169"/>
      <c r="B35" s="570"/>
      <c r="C35" s="587"/>
      <c r="D35" s="588"/>
      <c r="E35" s="588"/>
      <c r="F35" s="588"/>
      <c r="G35" s="601"/>
      <c r="H35" s="588"/>
      <c r="I35" s="588"/>
      <c r="J35" s="588"/>
      <c r="K35" s="588"/>
      <c r="L35" s="609"/>
      <c r="M35" s="610"/>
      <c r="N35" s="546"/>
      <c r="O35" s="577"/>
      <c r="P35" s="577"/>
      <c r="Q35" s="577"/>
      <c r="R35" s="577"/>
      <c r="S35" s="546"/>
      <c r="T35" s="546"/>
      <c r="U35" s="546"/>
      <c r="V35" s="546"/>
    </row>
    <row r="36" spans="1:41" ht="15" customHeight="1">
      <c r="A36" s="1157" t="s">
        <v>501</v>
      </c>
      <c r="B36" s="153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30"/>
      <c r="D36" s="1530"/>
      <c r="E36" s="1530"/>
      <c r="F36" s="1530"/>
      <c r="G36" s="1530"/>
      <c r="H36" s="1530"/>
      <c r="I36" s="1530"/>
      <c r="J36" s="1530"/>
      <c r="K36" s="570"/>
      <c r="L36" s="612"/>
      <c r="M36" s="612"/>
      <c r="N36" s="546"/>
      <c r="O36" s="577"/>
      <c r="P36" s="577"/>
      <c r="Q36" s="577"/>
      <c r="R36" s="577"/>
      <c r="S36" s="546"/>
      <c r="T36" s="580"/>
      <c r="U36" s="546"/>
      <c r="V36" s="546"/>
    </row>
    <row r="37" spans="1:41" ht="15.75">
      <c r="A37" s="1157"/>
      <c r="B37" s="1530"/>
      <c r="C37" s="1530"/>
      <c r="D37" s="1530"/>
      <c r="E37" s="1530"/>
      <c r="F37" s="1530"/>
      <c r="G37" s="1530"/>
      <c r="H37" s="1530"/>
      <c r="I37" s="1530"/>
      <c r="J37" s="1530"/>
      <c r="K37" s="570"/>
      <c r="L37" s="545"/>
      <c r="M37" s="613"/>
      <c r="N37" s="613"/>
      <c r="O37" s="613"/>
      <c r="P37" s="613"/>
      <c r="Q37" s="613"/>
      <c r="R37" s="545"/>
      <c r="S37" s="545"/>
      <c r="T37" s="545"/>
      <c r="U37" s="545"/>
      <c r="V37" s="545"/>
      <c r="W37" s="582"/>
      <c r="X37" s="582"/>
      <c r="Y37" s="582"/>
      <c r="Z37" s="582"/>
      <c r="AA37" s="582"/>
      <c r="AB37" s="582"/>
      <c r="AC37" s="582"/>
      <c r="AD37" s="582"/>
      <c r="AE37" s="582"/>
      <c r="AF37" s="582"/>
      <c r="AG37" s="582"/>
      <c r="AH37" s="582"/>
      <c r="AI37" s="582"/>
      <c r="AJ37" s="582"/>
      <c r="AK37" s="582"/>
      <c r="AL37" s="582"/>
      <c r="AM37" s="582"/>
      <c r="AN37" s="582"/>
      <c r="AO37" s="582"/>
    </row>
    <row r="38" spans="1:41" ht="15.75">
      <c r="A38" s="1157" t="s">
        <v>624</v>
      </c>
      <c r="B38" s="1166" t="s">
        <v>625</v>
      </c>
      <c r="C38" s="1167"/>
      <c r="D38" s="1167"/>
      <c r="E38" s="1167"/>
      <c r="F38" s="1167"/>
      <c r="G38" s="1167"/>
      <c r="H38" s="1167"/>
      <c r="I38" s="611"/>
      <c r="J38" s="611"/>
      <c r="K38" s="614"/>
      <c r="L38" s="545"/>
      <c r="M38" s="613"/>
      <c r="N38" s="613"/>
      <c r="O38" s="613"/>
      <c r="P38" s="613"/>
      <c r="Q38" s="613"/>
      <c r="R38" s="545"/>
      <c r="S38" s="545"/>
      <c r="T38" s="545"/>
      <c r="U38" s="545"/>
      <c r="V38" s="545"/>
      <c r="W38" s="582"/>
      <c r="X38" s="582"/>
      <c r="Y38" s="582"/>
      <c r="Z38" s="582"/>
      <c r="AA38" s="582"/>
      <c r="AB38" s="582"/>
      <c r="AC38" s="582"/>
      <c r="AD38" s="582"/>
      <c r="AE38" s="582"/>
      <c r="AF38" s="582"/>
      <c r="AG38" s="582"/>
      <c r="AH38" s="582"/>
      <c r="AI38" s="582"/>
      <c r="AJ38" s="582"/>
      <c r="AK38" s="582"/>
      <c r="AL38" s="582"/>
      <c r="AM38" s="582"/>
      <c r="AN38" s="582"/>
      <c r="AO38" s="582"/>
    </row>
    <row r="39" spans="1:41" ht="15.75">
      <c r="A39" s="586">
        <f>+A31+1</f>
        <v>9</v>
      </c>
      <c r="B39" s="599" t="s">
        <v>536</v>
      </c>
      <c r="C39" s="570"/>
      <c r="D39" s="588"/>
      <c r="E39" s="588"/>
      <c r="F39" s="588"/>
      <c r="G39" s="601"/>
      <c r="H39" s="588"/>
      <c r="I39" s="607"/>
      <c r="J39" s="607"/>
      <c r="K39" s="894">
        <v>0</v>
      </c>
      <c r="L39" s="545"/>
      <c r="M39" s="613"/>
      <c r="N39" s="613"/>
      <c r="O39" s="613"/>
      <c r="P39" s="613"/>
      <c r="Q39" s="613"/>
      <c r="R39" s="545"/>
      <c r="S39" s="545"/>
      <c r="T39" s="545"/>
      <c r="U39" s="545"/>
      <c r="V39" s="545"/>
      <c r="W39" s="582"/>
      <c r="X39" s="582"/>
      <c r="Y39" s="582"/>
      <c r="Z39" s="582"/>
      <c r="AA39" s="582"/>
      <c r="AB39" s="582"/>
      <c r="AC39" s="582"/>
      <c r="AD39" s="582"/>
      <c r="AE39" s="582"/>
      <c r="AF39" s="582"/>
      <c r="AG39" s="582"/>
      <c r="AH39" s="582"/>
      <c r="AI39" s="582"/>
      <c r="AJ39" s="582"/>
      <c r="AK39" s="582"/>
      <c r="AL39" s="582"/>
      <c r="AM39" s="582"/>
      <c r="AN39" s="582"/>
      <c r="AO39" s="582"/>
    </row>
    <row r="40" spans="1:41" ht="15.75">
      <c r="A40" s="546"/>
      <c r="B40" s="545"/>
      <c r="E40" s="613"/>
      <c r="F40" s="613"/>
      <c r="G40" s="613"/>
      <c r="H40" s="613"/>
      <c r="I40" s="615"/>
      <c r="J40" s="613"/>
      <c r="K40" s="613"/>
      <c r="L40" s="545"/>
      <c r="M40" s="613"/>
      <c r="N40" s="613"/>
      <c r="O40" s="613"/>
      <c r="P40" s="613"/>
      <c r="Q40" s="613"/>
      <c r="R40" s="545"/>
      <c r="S40" s="545"/>
      <c r="T40" s="545"/>
      <c r="U40" s="545"/>
      <c r="V40" s="545"/>
      <c r="W40" s="582"/>
      <c r="X40" s="582"/>
      <c r="Y40" s="582"/>
      <c r="Z40" s="582"/>
      <c r="AA40" s="582"/>
      <c r="AB40" s="582"/>
      <c r="AC40" s="582"/>
      <c r="AD40" s="582"/>
      <c r="AE40" s="582"/>
      <c r="AF40" s="582"/>
      <c r="AG40" s="582"/>
      <c r="AH40" s="582"/>
      <c r="AI40" s="582"/>
      <c r="AJ40" s="582"/>
      <c r="AK40" s="582"/>
      <c r="AL40" s="582"/>
      <c r="AM40" s="582"/>
      <c r="AN40" s="582"/>
      <c r="AO40" s="582"/>
    </row>
    <row r="41" spans="1:41">
      <c r="A41" s="577"/>
      <c r="B41" s="577"/>
      <c r="C41" s="577"/>
      <c r="D41" s="577"/>
      <c r="E41" s="577"/>
      <c r="F41" s="577"/>
      <c r="G41" s="577"/>
      <c r="H41" s="577"/>
      <c r="I41" s="577"/>
      <c r="J41" s="577"/>
      <c r="K41" s="577"/>
      <c r="L41" s="577"/>
      <c r="M41" s="577"/>
      <c r="N41" s="577"/>
      <c r="O41" s="577"/>
      <c r="P41" s="577"/>
      <c r="Q41" s="577"/>
      <c r="R41" s="577"/>
      <c r="S41" s="577"/>
      <c r="T41" s="577"/>
      <c r="U41" s="577"/>
      <c r="V41" s="577"/>
    </row>
    <row r="42" spans="1:41">
      <c r="A42" s="577"/>
      <c r="B42" s="577"/>
      <c r="C42" s="577"/>
      <c r="D42" s="577"/>
      <c r="E42" s="577"/>
      <c r="F42" s="577"/>
      <c r="G42" s="577"/>
      <c r="H42" s="577"/>
      <c r="I42" s="577"/>
      <c r="J42" s="577"/>
      <c r="K42" s="577"/>
      <c r="L42" s="577"/>
      <c r="M42" s="577"/>
      <c r="N42" s="577"/>
      <c r="O42" s="577"/>
      <c r="P42" s="577"/>
      <c r="Q42" s="577"/>
      <c r="R42" s="577"/>
      <c r="S42" s="577"/>
      <c r="T42" s="577"/>
      <c r="U42" s="577"/>
      <c r="V42" s="577"/>
    </row>
    <row r="43" spans="1:41">
      <c r="A43" s="577"/>
      <c r="B43" s="577"/>
      <c r="C43" s="577"/>
      <c r="D43" s="577"/>
      <c r="E43" s="577"/>
      <c r="F43" s="577"/>
      <c r="G43" s="577"/>
      <c r="H43" s="577"/>
      <c r="I43" s="577"/>
      <c r="J43" s="577"/>
      <c r="K43" s="577"/>
      <c r="L43" s="577"/>
      <c r="M43" s="577"/>
      <c r="N43" s="577"/>
      <c r="O43" s="577"/>
      <c r="P43" s="577"/>
      <c r="Q43" s="577"/>
      <c r="R43" s="577"/>
      <c r="S43" s="577"/>
      <c r="T43" s="577"/>
      <c r="U43" s="577"/>
      <c r="V43" s="577"/>
    </row>
    <row r="44" spans="1:41">
      <c r="A44" s="577"/>
      <c r="B44" s="577"/>
      <c r="C44" s="577"/>
      <c r="D44" s="577"/>
      <c r="E44" s="577"/>
      <c r="F44" s="577"/>
      <c r="G44" s="577"/>
      <c r="H44" s="577"/>
      <c r="I44" s="577"/>
      <c r="J44" s="577"/>
      <c r="K44" s="577"/>
      <c r="L44" s="577"/>
      <c r="M44" s="577"/>
      <c r="N44" s="577"/>
      <c r="O44" s="577"/>
      <c r="P44" s="577"/>
      <c r="Q44" s="577"/>
      <c r="R44" s="577"/>
      <c r="S44" s="577"/>
      <c r="T44" s="577"/>
      <c r="U44" s="577"/>
      <c r="V44" s="577"/>
    </row>
    <row r="45" spans="1:41">
      <c r="A45" s="577"/>
      <c r="B45" s="577"/>
      <c r="C45" s="577"/>
      <c r="D45" s="577"/>
      <c r="E45" s="577"/>
      <c r="F45" s="577"/>
      <c r="G45" s="577"/>
      <c r="H45" s="577"/>
      <c r="I45" s="577"/>
      <c r="J45" s="577"/>
      <c r="K45" s="577"/>
      <c r="L45" s="577"/>
      <c r="M45" s="577"/>
      <c r="N45" s="577"/>
      <c r="O45" s="577"/>
      <c r="P45" s="577"/>
      <c r="Q45" s="577"/>
      <c r="R45" s="577"/>
      <c r="S45" s="577"/>
      <c r="T45" s="577"/>
      <c r="U45" s="577"/>
      <c r="V45" s="577"/>
    </row>
    <row r="46" spans="1:41">
      <c r="A46" s="577"/>
      <c r="B46" s="577"/>
      <c r="C46" s="577"/>
      <c r="D46" s="577"/>
      <c r="E46" s="577"/>
      <c r="F46" s="577"/>
      <c r="G46" s="577"/>
      <c r="H46" s="577"/>
      <c r="I46" s="577"/>
      <c r="J46" s="577"/>
      <c r="K46" s="577"/>
      <c r="L46" s="577"/>
      <c r="M46" s="577"/>
      <c r="N46" s="577"/>
      <c r="O46" s="577"/>
      <c r="P46" s="577"/>
      <c r="Q46" s="577"/>
      <c r="R46" s="577"/>
      <c r="S46" s="577"/>
      <c r="T46" s="577"/>
      <c r="U46" s="577"/>
      <c r="V46" s="577"/>
    </row>
    <row r="47" spans="1:41">
      <c r="A47" s="577"/>
      <c r="B47" s="577"/>
      <c r="C47" s="577"/>
      <c r="D47" s="577"/>
      <c r="E47" s="577"/>
      <c r="F47" s="577"/>
      <c r="G47" s="577"/>
      <c r="H47" s="577"/>
      <c r="I47" s="577"/>
      <c r="J47" s="577"/>
      <c r="K47" s="577"/>
      <c r="L47" s="577"/>
      <c r="M47" s="577"/>
      <c r="N47" s="577"/>
      <c r="O47" s="577"/>
      <c r="P47" s="577"/>
      <c r="Q47" s="577"/>
      <c r="R47" s="577"/>
      <c r="S47" s="577"/>
      <c r="T47" s="577"/>
      <c r="U47" s="577"/>
      <c r="V47" s="577"/>
    </row>
    <row r="48" spans="1:41">
      <c r="A48" s="577"/>
      <c r="B48" s="577"/>
      <c r="C48" s="577"/>
      <c r="D48" s="577"/>
      <c r="E48" s="577"/>
      <c r="F48" s="577"/>
      <c r="G48" s="577"/>
      <c r="H48" s="577"/>
      <c r="I48" s="577"/>
      <c r="J48" s="577"/>
      <c r="K48" s="577"/>
      <c r="L48" s="577"/>
      <c r="M48" s="577"/>
      <c r="N48" s="577"/>
      <c r="O48" s="577"/>
      <c r="P48" s="577"/>
      <c r="Q48" s="577"/>
      <c r="R48" s="577"/>
      <c r="S48" s="577"/>
      <c r="T48" s="577"/>
      <c r="U48" s="577"/>
      <c r="V48" s="577"/>
    </row>
    <row r="49" spans="1:22">
      <c r="A49" s="577"/>
      <c r="B49" s="577"/>
      <c r="C49" s="577"/>
      <c r="D49" s="577"/>
      <c r="E49" s="577"/>
      <c r="F49" s="577"/>
      <c r="G49" s="577"/>
      <c r="H49" s="577"/>
      <c r="I49" s="577"/>
      <c r="J49" s="577"/>
      <c r="K49" s="577"/>
      <c r="L49" s="577"/>
      <c r="M49" s="577"/>
      <c r="N49" s="577"/>
      <c r="O49" s="577"/>
      <c r="P49" s="577"/>
      <c r="Q49" s="577"/>
      <c r="R49" s="577"/>
      <c r="S49" s="577"/>
      <c r="T49" s="577"/>
      <c r="U49" s="577"/>
      <c r="V49" s="5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682AE861-07CA-40BF-8781-7678401AAE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(2)</vt:lpstr>
      <vt:lpstr>TCOS!Print_Area</vt:lpstr>
      <vt:lpstr>'WS B ADIT &amp; ITC'!Print_Area</vt:lpstr>
      <vt:lpstr>'WS B-2 - Actual Stmt. AG'!Print_Area</vt:lpstr>
      <vt:lpstr>'WS B-3'!Print_Area</vt:lpstr>
      <vt:lpstr>'WS H-1-Detail of Tax Amts'!Print_Area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2021-05-24T16:31:55Z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a72b3c78-f831-451b-b39d-536d15a8e4c2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